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18.10.2024\I1015_1153926028850_39\Паспорта\"/>
    </mc:Choice>
  </mc:AlternateContent>
  <xr:revisionPtr revIDLastSave="0" documentId="13_ncr:1_{76D37985-8CF5-45D8-8695-EA9FD41DC798}"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C81" i="31" l="1"/>
  <c r="B81" i="31"/>
  <c r="D81" i="31"/>
  <c r="C51" i="7"/>
  <c r="C50" i="7"/>
  <c r="A15" i="6"/>
  <c r="E59" i="31" l="1"/>
  <c r="B48" i="31"/>
  <c r="B27" i="26"/>
  <c r="E65" i="31"/>
  <c r="F65" i="31"/>
  <c r="E67" i="31"/>
  <c r="A5" i="31"/>
  <c r="B34" i="31" l="1"/>
  <c r="B28" i="31" l="1"/>
  <c r="I60" i="31" l="1"/>
  <c r="B49" i="31"/>
  <c r="B58" i="31" s="1"/>
  <c r="A15" i="3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D76" i="31"/>
  <c r="K61" i="31"/>
  <c r="D59" i="31"/>
  <c r="C59" i="31"/>
  <c r="B59" i="31"/>
  <c r="AE58" i="31"/>
  <c r="AD58" i="31"/>
  <c r="AC58" i="31"/>
  <c r="AC80" i="31" s="1"/>
  <c r="AB58" i="31"/>
  <c r="AB80" i="31" s="1"/>
  <c r="AA58" i="31"/>
  <c r="Z58" i="31"/>
  <c r="Y58" i="31"/>
  <c r="Y80" i="31" s="1"/>
  <c r="X58" i="31"/>
  <c r="X80" i="31" s="1"/>
  <c r="W58" i="31"/>
  <c r="V58" i="31"/>
  <c r="U58" i="31"/>
  <c r="U80" i="31" s="1"/>
  <c r="T58" i="31"/>
  <c r="T80" i="31" s="1"/>
  <c r="S58" i="31"/>
  <c r="R58" i="31"/>
  <c r="Q58" i="31"/>
  <c r="Q80" i="31" s="1"/>
  <c r="P58" i="31"/>
  <c r="P80" i="31" s="1"/>
  <c r="O58" i="31"/>
  <c r="O80" i="31" s="1"/>
  <c r="N58" i="31"/>
  <c r="M58" i="31"/>
  <c r="M80" i="31" s="1"/>
  <c r="L58" i="31"/>
  <c r="L80" i="31" s="1"/>
  <c r="K58" i="31"/>
  <c r="K80" i="31" s="1"/>
  <c r="J58" i="31"/>
  <c r="I58" i="31"/>
  <c r="I80" i="31" s="1"/>
  <c r="H58" i="31"/>
  <c r="H80" i="31" s="1"/>
  <c r="G58" i="31"/>
  <c r="G80" i="31" s="1"/>
  <c r="F58" i="31"/>
  <c r="E58" i="31"/>
  <c r="E80" i="31" s="1"/>
  <c r="D58" i="31"/>
  <c r="D80" i="31" s="1"/>
  <c r="C58" i="31"/>
  <c r="C80" i="31" s="1"/>
  <c r="C48" i="3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S61" i="31" l="1"/>
  <c r="O60" i="31"/>
  <c r="B66" i="31"/>
  <c r="B68" i="31" s="1"/>
  <c r="B79" i="31"/>
  <c r="B80" i="31"/>
  <c r="S80" i="31"/>
  <c r="AA80" i="31"/>
  <c r="D66" i="31"/>
  <c r="D68" i="31" s="1"/>
  <c r="R80" i="31"/>
  <c r="W80" i="31"/>
  <c r="AE80" i="31"/>
  <c r="C66" i="31"/>
  <c r="C68" i="31" s="1"/>
  <c r="E66" i="31"/>
  <c r="F80" i="31"/>
  <c r="J80" i="31"/>
  <c r="N80" i="31"/>
  <c r="V80" i="31"/>
  <c r="Z80" i="31"/>
  <c r="AD80" i="31"/>
  <c r="AA61" i="31" l="1"/>
  <c r="U60" i="31"/>
  <c r="E68" i="31"/>
  <c r="E70" i="31" s="1"/>
  <c r="F67" i="31"/>
  <c r="E76" i="31"/>
  <c r="D70" i="31"/>
  <c r="D75" i="31"/>
  <c r="C79" i="31"/>
  <c r="C70" i="31"/>
  <c r="C75" i="31"/>
  <c r="E75" i="31"/>
  <c r="B75" i="31"/>
  <c r="B70" i="31"/>
  <c r="F59" i="31" l="1"/>
  <c r="F66" i="31" s="1"/>
  <c r="F68" i="31" s="1"/>
  <c r="G67" i="31"/>
  <c r="F76" i="31"/>
  <c r="D71" i="31"/>
  <c r="D72" i="31" s="1"/>
  <c r="E71" i="31"/>
  <c r="E72" i="31" s="1"/>
  <c r="C71" i="31"/>
  <c r="C72" i="31" s="1"/>
  <c r="B71" i="31"/>
  <c r="G65" i="31" l="1"/>
  <c r="G59" i="31" s="1"/>
  <c r="G66" i="31" s="1"/>
  <c r="G68" i="31" s="1"/>
  <c r="F70" i="31"/>
  <c r="F71" i="31" s="1"/>
  <c r="F72" i="31" s="1"/>
  <c r="F75" i="31"/>
  <c r="H67" i="31"/>
  <c r="G76" i="31"/>
  <c r="B78" i="31"/>
  <c r="B83" i="31" s="1"/>
  <c r="B72" i="31"/>
  <c r="H65" i="31" l="1"/>
  <c r="H59" i="31"/>
  <c r="H66" i="31" s="1"/>
  <c r="H68" i="31" s="1"/>
  <c r="G75" i="31"/>
  <c r="G70" i="31"/>
  <c r="H76" i="31"/>
  <c r="I67" i="31"/>
  <c r="C78" i="31"/>
  <c r="D78" i="31" s="1"/>
  <c r="B84" i="31"/>
  <c r="B89" i="31" s="1"/>
  <c r="B86" i="31"/>
  <c r="B88" i="31"/>
  <c r="I65" i="31" l="1"/>
  <c r="I59" i="31" s="1"/>
  <c r="I66" i="31" s="1"/>
  <c r="I68" i="31" s="1"/>
  <c r="H75" i="31"/>
  <c r="H70" i="31"/>
  <c r="H71" i="31" s="1"/>
  <c r="G71" i="31"/>
  <c r="G72" i="31" s="1"/>
  <c r="I76" i="31"/>
  <c r="J67" i="31"/>
  <c r="B87" i="31"/>
  <c r="B90" i="31" s="1"/>
  <c r="C83" i="31"/>
  <c r="E78" i="31"/>
  <c r="J65" i="31" l="1"/>
  <c r="J59" i="31" s="1"/>
  <c r="J66" i="31" s="1"/>
  <c r="J68" i="31" s="1"/>
  <c r="K67" i="31"/>
  <c r="J76" i="31"/>
  <c r="H72" i="31"/>
  <c r="I75" i="31"/>
  <c r="I70" i="31"/>
  <c r="F78" i="31"/>
  <c r="C86" i="31"/>
  <c r="C88" i="31"/>
  <c r="C84" i="31"/>
  <c r="C89" i="31" s="1"/>
  <c r="G78" i="31" l="1"/>
  <c r="H78" i="31" s="1"/>
  <c r="K65" i="31"/>
  <c r="K59" i="31" s="1"/>
  <c r="K66" i="31" s="1"/>
  <c r="K68" i="31" s="1"/>
  <c r="J75" i="31"/>
  <c r="J70" i="31"/>
  <c r="I71" i="31"/>
  <c r="I72" i="31" s="1"/>
  <c r="K76" i="31"/>
  <c r="L67" i="31"/>
  <c r="C87" i="31"/>
  <c r="C90" i="31" s="1"/>
  <c r="L59" i="31" l="1"/>
  <c r="L66" i="31" s="1"/>
  <c r="L65" i="31"/>
  <c r="M67" i="31"/>
  <c r="L68" i="31"/>
  <c r="L76" i="31"/>
  <c r="K70" i="31"/>
  <c r="K71" i="31" s="1"/>
  <c r="K72" i="31" s="1"/>
  <c r="K75" i="31"/>
  <c r="J71" i="31"/>
  <c r="J72" i="31" s="1"/>
  <c r="I78" i="31"/>
  <c r="M65" i="31" l="1"/>
  <c r="M59" i="31" s="1"/>
  <c r="M66" i="31" s="1"/>
  <c r="M68" i="31" s="1"/>
  <c r="J78" i="31"/>
  <c r="L75" i="31"/>
  <c r="L70" i="31"/>
  <c r="N67" i="31"/>
  <c r="M76" i="31"/>
  <c r="N65" i="31" l="1"/>
  <c r="N59" i="31" s="1"/>
  <c r="N66" i="31" s="1"/>
  <c r="N68" i="31" s="1"/>
  <c r="K78" i="31"/>
  <c r="N76" i="31"/>
  <c r="O67" i="31"/>
  <c r="L71" i="31"/>
  <c r="L72" i="31" s="1"/>
  <c r="M75" i="31"/>
  <c r="M70" i="31"/>
  <c r="M71" i="31" s="1"/>
  <c r="O65" i="31" l="1"/>
  <c r="O59" i="31" s="1"/>
  <c r="O66" i="31" s="1"/>
  <c r="O68" i="31" s="1"/>
  <c r="M72" i="31"/>
  <c r="L78" i="31"/>
  <c r="N75" i="31"/>
  <c r="N70" i="31"/>
  <c r="O76" i="31"/>
  <c r="P67" i="31"/>
  <c r="P65" i="31" l="1"/>
  <c r="P59" i="31" s="1"/>
  <c r="P66" i="31" s="1"/>
  <c r="P68" i="31" s="1"/>
  <c r="M78" i="31"/>
  <c r="N71" i="31"/>
  <c r="O70" i="31"/>
  <c r="O71" i="31" s="1"/>
  <c r="O75" i="31"/>
  <c r="Q67" i="31"/>
  <c r="P76" i="31"/>
  <c r="Q65" i="31" l="1"/>
  <c r="Q59" i="31" s="1"/>
  <c r="Q66" i="31" s="1"/>
  <c r="N78" i="31"/>
  <c r="O72" i="31"/>
  <c r="N72" i="31"/>
  <c r="P75" i="31"/>
  <c r="P70" i="31"/>
  <c r="P71" i="31" s="1"/>
  <c r="Q76" i="31"/>
  <c r="R67" i="31"/>
  <c r="Q68" i="31"/>
  <c r="R65" i="31" l="1"/>
  <c r="R59" i="31" s="1"/>
  <c r="R66" i="31" s="1"/>
  <c r="O78" i="31"/>
  <c r="P72" i="31"/>
  <c r="Q75" i="31"/>
  <c r="Q70" i="31"/>
  <c r="S67" i="31"/>
  <c r="R76" i="31"/>
  <c r="R68" i="31"/>
  <c r="S65" i="31" l="1"/>
  <c r="S59" i="31" s="1"/>
  <c r="S66" i="31" s="1"/>
  <c r="S68" i="31" s="1"/>
  <c r="P78" i="31"/>
  <c r="Q71" i="31"/>
  <c r="T67" i="31"/>
  <c r="S76" i="31"/>
  <c r="R75" i="31"/>
  <c r="R70" i="31"/>
  <c r="R71" i="31" s="1"/>
  <c r="T65" i="31" l="1"/>
  <c r="T59" i="31" s="1"/>
  <c r="T66" i="31" s="1"/>
  <c r="Q78" i="31"/>
  <c r="R72" i="31"/>
  <c r="Q72" i="31"/>
  <c r="S70" i="31"/>
  <c r="S75" i="31"/>
  <c r="T76" i="31"/>
  <c r="U67" i="31"/>
  <c r="T68" i="31"/>
  <c r="U65" i="31" l="1"/>
  <c r="U59" i="31" s="1"/>
  <c r="U66" i="31" s="1"/>
  <c r="R78" i="31"/>
  <c r="S71" i="31"/>
  <c r="U68" i="31"/>
  <c r="V67" i="31"/>
  <c r="U76" i="31"/>
  <c r="T70" i="31"/>
  <c r="T75" i="31"/>
  <c r="V65" i="31" l="1"/>
  <c r="V59" i="31" s="1"/>
  <c r="V66" i="31" s="1"/>
  <c r="S78" i="31"/>
  <c r="S72" i="31"/>
  <c r="T71" i="31"/>
  <c r="V76" i="31"/>
  <c r="V68" i="31"/>
  <c r="W67" i="31"/>
  <c r="U75" i="31"/>
  <c r="U70" i="31"/>
  <c r="U71" i="31" s="1"/>
  <c r="W65" i="31" l="1"/>
  <c r="W59" i="31" s="1"/>
  <c r="W66" i="31" s="1"/>
  <c r="T78" i="31"/>
  <c r="T72" i="31"/>
  <c r="V70" i="31"/>
  <c r="V71" i="31" s="1"/>
  <c r="V75" i="31"/>
  <c r="U72" i="31"/>
  <c r="W76" i="31"/>
  <c r="X67" i="31"/>
  <c r="W68" i="31"/>
  <c r="X65" i="31" l="1"/>
  <c r="X59" i="31" s="1"/>
  <c r="X66" i="31" s="1"/>
  <c r="U78" i="31"/>
  <c r="V72" i="31"/>
  <c r="X68" i="31"/>
  <c r="Y67" i="31"/>
  <c r="X76" i="31"/>
  <c r="W75" i="31"/>
  <c r="W70" i="31"/>
  <c r="W71" i="31" s="1"/>
  <c r="Y65" i="31" l="1"/>
  <c r="Y59" i="31" s="1"/>
  <c r="Y66" i="31" s="1"/>
  <c r="V78" i="31"/>
  <c r="W72" i="31"/>
  <c r="Z67" i="31"/>
  <c r="Z65" i="31" s="1"/>
  <c r="Z59" i="31" s="1"/>
  <c r="Z66" i="31" s="1"/>
  <c r="Y68" i="31"/>
  <c r="Y76" i="31"/>
  <c r="X70" i="31"/>
  <c r="X71" i="31" s="1"/>
  <c r="X75" i="31"/>
  <c r="W78" i="31" l="1"/>
  <c r="X72" i="31"/>
  <c r="Y70" i="31"/>
  <c r="Y75" i="31"/>
  <c r="AA67" i="31"/>
  <c r="AA65" i="31" s="1"/>
  <c r="AA59" i="31" s="1"/>
  <c r="AA66" i="31" s="1"/>
  <c r="Z76" i="31"/>
  <c r="Z68" i="31"/>
  <c r="X78" i="31" l="1"/>
  <c r="AB67" i="31"/>
  <c r="AB65" i="31" s="1"/>
  <c r="AB59" i="31" s="1"/>
  <c r="AB66" i="31" s="1"/>
  <c r="AA76" i="31"/>
  <c r="AA68" i="31"/>
  <c r="Z75" i="31"/>
  <c r="Z70" i="31"/>
  <c r="Z71" i="31" s="1"/>
  <c r="Y71" i="31"/>
  <c r="Y78" i="31" l="1"/>
  <c r="Z72" i="31"/>
  <c r="AA70" i="31"/>
  <c r="AA71" i="31" s="1"/>
  <c r="AA75" i="31"/>
  <c r="Y72" i="31"/>
  <c r="AC67" i="31"/>
  <c r="AC65" i="31" s="1"/>
  <c r="AC59" i="31" s="1"/>
  <c r="AC66" i="31" s="1"/>
  <c r="AB68" i="31"/>
  <c r="AB76" i="31"/>
  <c r="Z78" i="31" l="1"/>
  <c r="AA72" i="31"/>
  <c r="AB70" i="31"/>
  <c r="AB71" i="31" s="1"/>
  <c r="AB75" i="31"/>
  <c r="AC68" i="31"/>
  <c r="AD67" i="31"/>
  <c r="AD65" i="31" s="1"/>
  <c r="AD59" i="31" s="1"/>
  <c r="AD66" i="31" s="1"/>
  <c r="AC76" i="31"/>
  <c r="AA78" i="31" l="1"/>
  <c r="AB78" i="31"/>
  <c r="AB72" i="31"/>
  <c r="AC75" i="31"/>
  <c r="AC70" i="31"/>
  <c r="AD68" i="31"/>
  <c r="AE67" i="31"/>
  <c r="AE65" i="31" s="1"/>
  <c r="AE59" i="31" s="1"/>
  <c r="AE66" i="31" s="1"/>
  <c r="AD76" i="31"/>
  <c r="AE76" i="31" l="1"/>
  <c r="AE68" i="31"/>
  <c r="AD75" i="31"/>
  <c r="AD70" i="31"/>
  <c r="AC71" i="31"/>
  <c r="AC78" i="31" s="1"/>
  <c r="AC72" i="31" l="1"/>
  <c r="AD71" i="31"/>
  <c r="AD78" i="31" s="1"/>
  <c r="AE70" i="31"/>
  <c r="AE71" i="31" s="1"/>
  <c r="AE75" i="31"/>
  <c r="AE72" i="31" l="1"/>
  <c r="AE78" i="31"/>
  <c r="AD72" i="31"/>
  <c r="C30" i="29" l="1"/>
  <c r="C24" i="29" s="1"/>
  <c r="C27" i="29" l="1"/>
  <c r="D79" i="31" l="1"/>
  <c r="D83" i="31" s="1"/>
  <c r="E79" i="31" l="1"/>
  <c r="F79" i="31" s="1"/>
  <c r="D86" i="31"/>
  <c r="D88" i="31"/>
  <c r="D84" i="31"/>
  <c r="D89" i="31" s="1"/>
  <c r="H26" i="29"/>
  <c r="H25" i="29"/>
  <c r="H30" i="29"/>
  <c r="C52" i="29"/>
  <c r="I24" i="29"/>
  <c r="E83" i="31" l="1"/>
  <c r="D87" i="31"/>
  <c r="D90" i="31" s="1"/>
  <c r="F83" i="31"/>
  <c r="G79" i="31"/>
  <c r="E86" i="31" l="1"/>
  <c r="E87" i="31" s="1"/>
  <c r="E90" i="31" s="1"/>
  <c r="E88" i="31"/>
  <c r="E84" i="31"/>
  <c r="E89" i="31" s="1"/>
  <c r="G83" i="31"/>
  <c r="G86" i="31" s="1"/>
  <c r="F86" i="31"/>
  <c r="F84" i="31"/>
  <c r="F88" i="31"/>
  <c r="H79" i="31"/>
  <c r="H83" i="31" s="1"/>
  <c r="H86" i="31" s="1"/>
  <c r="D26" i="5"/>
  <c r="F89" i="31" l="1"/>
  <c r="G88" i="31"/>
  <c r="H87" i="31"/>
  <c r="G84" i="31"/>
  <c r="G89" i="31" s="1"/>
  <c r="F87" i="31"/>
  <c r="F90" i="31" s="1"/>
  <c r="H88" i="31"/>
  <c r="H84" i="31"/>
  <c r="I79" i="31"/>
  <c r="G87" i="31"/>
  <c r="B133" i="26"/>
  <c r="H89" i="31" l="1"/>
  <c r="G90" i="31"/>
  <c r="J79" i="31"/>
  <c r="I83" i="31"/>
  <c r="H90" i="31"/>
  <c r="L30" i="15"/>
  <c r="I86" i="31" l="1"/>
  <c r="I84" i="31"/>
  <c r="I89" i="31" s="1"/>
  <c r="I88" i="31"/>
  <c r="K79" i="31"/>
  <c r="J83" i="31"/>
  <c r="J86" i="31" s="1"/>
  <c r="H64" i="29"/>
  <c r="H63" i="29"/>
  <c r="H62" i="29"/>
  <c r="H61" i="29"/>
  <c r="H60" i="29"/>
  <c r="H59" i="29"/>
  <c r="H58" i="29"/>
  <c r="H57" i="29"/>
  <c r="H56" i="29"/>
  <c r="C56" i="29"/>
  <c r="H55" i="29"/>
  <c r="C55" i="29"/>
  <c r="H54" i="29"/>
  <c r="H53" i="29"/>
  <c r="C53" i="29"/>
  <c r="H52" i="29"/>
  <c r="H51" i="29"/>
  <c r="C51" i="29"/>
  <c r="H50" i="29"/>
  <c r="H49" i="29"/>
  <c r="C49" i="29"/>
  <c r="H48" i="29"/>
  <c r="C48" i="29"/>
  <c r="H47" i="29"/>
  <c r="C47" i="29"/>
  <c r="H46" i="29"/>
  <c r="C46" i="29"/>
  <c r="H45" i="29"/>
  <c r="H44" i="29"/>
  <c r="C44" i="29"/>
  <c r="H43" i="29"/>
  <c r="C43" i="29"/>
  <c r="H42" i="29"/>
  <c r="H41" i="29"/>
  <c r="C41" i="29"/>
  <c r="H40" i="29"/>
  <c r="C40" i="29"/>
  <c r="H39" i="29"/>
  <c r="C39" i="29"/>
  <c r="H38" i="29"/>
  <c r="C38" i="29"/>
  <c r="H37" i="29"/>
  <c r="H36" i="29"/>
  <c r="C36" i="29"/>
  <c r="H35" i="29"/>
  <c r="C35" i="29"/>
  <c r="H34" i="29"/>
  <c r="H29" i="29"/>
  <c r="J84" i="31" l="1"/>
  <c r="J89" i="31" s="1"/>
  <c r="L79" i="31"/>
  <c r="K83" i="31"/>
  <c r="J88" i="31"/>
  <c r="J87" i="31"/>
  <c r="I87" i="31"/>
  <c r="I90" i="31" s="1"/>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M79" i="31" l="1"/>
  <c r="L83" i="31"/>
  <c r="L84" i="31" s="1"/>
  <c r="K86" i="31"/>
  <c r="K88" i="31"/>
  <c r="K84" i="31"/>
  <c r="K89" i="31" s="1"/>
  <c r="J90" i="31"/>
  <c r="K87" i="31" l="1"/>
  <c r="K90" i="31" s="1"/>
  <c r="L86" i="31"/>
  <c r="L87" i="31" s="1"/>
  <c r="L88" i="31"/>
  <c r="L89" i="31"/>
  <c r="N79" i="31"/>
  <c r="M83" i="31"/>
  <c r="P57" i="15"/>
  <c r="P56" i="15"/>
  <c r="P55" i="15"/>
  <c r="P50" i="15"/>
  <c r="P49" i="15"/>
  <c r="P48" i="15"/>
  <c r="P47" i="15"/>
  <c r="P46" i="15"/>
  <c r="P44" i="15"/>
  <c r="P42" i="15"/>
  <c r="P41" i="15"/>
  <c r="P40" i="15"/>
  <c r="P39" i="15"/>
  <c r="P38" i="15"/>
  <c r="M86" i="31" l="1"/>
  <c r="M88" i="31"/>
  <c r="M84" i="31"/>
  <c r="M89" i="31" s="1"/>
  <c r="L90" i="31"/>
  <c r="O79" i="31"/>
  <c r="N83" i="31"/>
  <c r="N86" i="31" l="1"/>
  <c r="N87" i="31" s="1"/>
  <c r="N88" i="31"/>
  <c r="N84" i="31"/>
  <c r="N89" i="31" s="1"/>
  <c r="P79" i="31"/>
  <c r="O83" i="31"/>
  <c r="M87"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Q79" i="31" l="1"/>
  <c r="P83" i="31"/>
  <c r="M90" i="31"/>
  <c r="G29" i="31"/>
  <c r="O86" i="31"/>
  <c r="O87" i="31" s="1"/>
  <c r="O90" i="31" s="1"/>
  <c r="O88" i="31"/>
  <c r="O84" i="31"/>
  <c r="O89" i="31" s="1"/>
  <c r="N90" i="31"/>
  <c r="E32" i="15"/>
  <c r="F32" i="15" s="1"/>
  <c r="E34" i="15"/>
  <c r="F34" i="15" s="1"/>
  <c r="E31" i="15"/>
  <c r="F31" i="15" s="1"/>
  <c r="E33" i="15"/>
  <c r="F33" i="15" s="1"/>
  <c r="L26" i="15"/>
  <c r="AB26" i="15" s="1"/>
  <c r="N26" i="15"/>
  <c r="E45" i="15"/>
  <c r="F45" i="15" s="1"/>
  <c r="P45" i="15" s="1"/>
  <c r="L27" i="15"/>
  <c r="AB27" i="15" s="1"/>
  <c r="N27" i="15"/>
  <c r="L25" i="15"/>
  <c r="N25" i="15"/>
  <c r="AB37" i="15"/>
  <c r="C54" i="15"/>
  <c r="L31" i="15"/>
  <c r="AB25" i="15"/>
  <c r="C30" i="15"/>
  <c r="P53" i="15"/>
  <c r="F30" i="15" l="1"/>
  <c r="L24" i="15"/>
  <c r="AB24" i="15" s="1"/>
  <c r="C48" i="7" s="1"/>
  <c r="P86" i="31"/>
  <c r="P87" i="31" s="1"/>
  <c r="P90" i="31" s="1"/>
  <c r="P84" i="31"/>
  <c r="P89" i="31" s="1"/>
  <c r="P88" i="31"/>
  <c r="R79" i="31"/>
  <c r="Q83" i="31"/>
  <c r="E30" i="15"/>
  <c r="AC26" i="15"/>
  <c r="AB53" i="15"/>
  <c r="AB45" i="15"/>
  <c r="AC25" i="15"/>
  <c r="N24" i="15"/>
  <c r="AC27" i="15"/>
  <c r="E54" i="15"/>
  <c r="F54" i="15" s="1"/>
  <c r="P54" i="15" s="1"/>
  <c r="C52" i="15"/>
  <c r="C28" i="15"/>
  <c r="AB31" i="15"/>
  <c r="Q86" i="31" l="1"/>
  <c r="Q87" i="31" s="1"/>
  <c r="Q90" i="31" s="1"/>
  <c r="Q88" i="31"/>
  <c r="Q84" i="31"/>
  <c r="Q89" i="31" s="1"/>
  <c r="R83" i="31"/>
  <c r="S79" i="31"/>
  <c r="AC24" i="15"/>
  <c r="AB54" i="15"/>
  <c r="E52" i="15"/>
  <c r="F52" i="15" s="1"/>
  <c r="P52" i="15" s="1"/>
  <c r="C24" i="15"/>
  <c r="E28" i="15"/>
  <c r="R88" i="31" l="1"/>
  <c r="R86" i="31"/>
  <c r="R87" i="31" s="1"/>
  <c r="R90" i="31" s="1"/>
  <c r="R84" i="31"/>
  <c r="R89" i="31" s="1"/>
  <c r="T79" i="31"/>
  <c r="S83" i="31"/>
  <c r="AB52" i="15"/>
  <c r="F28" i="15"/>
  <c r="F24" i="15" s="1"/>
  <c r="E24" i="15"/>
  <c r="AC23" i="15"/>
  <c r="S84" i="31" l="1"/>
  <c r="S89" i="31" s="1"/>
  <c r="S86" i="31"/>
  <c r="S87" i="31" s="1"/>
  <c r="S90" i="31" s="1"/>
  <c r="S88" i="31"/>
  <c r="U79" i="31"/>
  <c r="T83" i="31"/>
  <c r="A12" i="26"/>
  <c r="V79" i="31" l="1"/>
  <c r="U83" i="31"/>
  <c r="T88" i="31"/>
  <c r="T86" i="31"/>
  <c r="T87" i="31" s="1"/>
  <c r="T90" i="31" s="1"/>
  <c r="T84" i="31"/>
  <c r="T89" i="31" s="1"/>
  <c r="B119" i="26"/>
  <c r="B117" i="26"/>
  <c r="B67" i="26"/>
  <c r="B63" i="26"/>
  <c r="B59" i="26"/>
  <c r="B55" i="26"/>
  <c r="A15" i="26"/>
  <c r="B21" i="26" s="1"/>
  <c r="A9" i="26"/>
  <c r="B121" i="26" s="1"/>
  <c r="A5" i="26"/>
  <c r="U86" i="31" l="1"/>
  <c r="U87" i="31" s="1"/>
  <c r="U90" i="31" s="1"/>
  <c r="U84" i="31"/>
  <c r="U89" i="31" s="1"/>
  <c r="U88" i="31"/>
  <c r="W79" i="31"/>
  <c r="V83" i="31"/>
  <c r="B118" i="26"/>
  <c r="B116" i="26"/>
  <c r="B108" i="26"/>
  <c r="B104" i="26"/>
  <c r="B100" i="26"/>
  <c r="B115" i="26"/>
  <c r="B53" i="26"/>
  <c r="B50" i="26"/>
  <c r="B46" i="26"/>
  <c r="B42" i="26"/>
  <c r="B38" i="26"/>
  <c r="X79" i="31" l="1"/>
  <c r="W83" i="31"/>
  <c r="V86" i="31"/>
  <c r="V87" i="31" s="1"/>
  <c r="V90" i="31" s="1"/>
  <c r="V88" i="31"/>
  <c r="V84" i="31"/>
  <c r="V89" i="31" s="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W88" i="31" l="1"/>
  <c r="W86" i="31"/>
  <c r="W87" i="31" s="1"/>
  <c r="W90" i="31" s="1"/>
  <c r="W84" i="31"/>
  <c r="W89" i="31" s="1"/>
  <c r="Y79" i="31"/>
  <c r="X83"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X84" i="31" l="1"/>
  <c r="X89" i="31" s="1"/>
  <c r="X86" i="31"/>
  <c r="X87" i="31" s="1"/>
  <c r="X90" i="31" s="1"/>
  <c r="X88" i="31"/>
  <c r="Z79" i="31"/>
  <c r="Y83" i="31"/>
  <c r="AB30" i="15"/>
  <c r="C49" i="7" s="1"/>
  <c r="P33" i="15"/>
  <c r="L33" i="15" s="1"/>
  <c r="AB33" i="15" s="1"/>
  <c r="P32" i="15"/>
  <c r="AA79" i="31" l="1"/>
  <c r="Z83" i="31"/>
  <c r="Y86" i="31"/>
  <c r="Y87" i="31" s="1"/>
  <c r="Y90" i="31" s="1"/>
  <c r="Y88" i="31"/>
  <c r="Y84" i="31"/>
  <c r="Y89" i="31" s="1"/>
  <c r="P34" i="15"/>
  <c r="L32" i="15"/>
  <c r="Z84" i="31" l="1"/>
  <c r="Z89" i="31" s="1"/>
  <c r="Z86" i="31"/>
  <c r="Z87" i="31" s="1"/>
  <c r="Z90" i="31" s="1"/>
  <c r="Z88" i="31"/>
  <c r="AB79" i="31"/>
  <c r="AA83" i="31"/>
  <c r="L34" i="15"/>
  <c r="AB34" i="15" s="1"/>
  <c r="AB32" i="15"/>
  <c r="AC79" i="31" l="1"/>
  <c r="AB83" i="31"/>
  <c r="AA88" i="31"/>
  <c r="AA86" i="31"/>
  <c r="AA87" i="31" s="1"/>
  <c r="AA90" i="31" s="1"/>
  <c r="AA84" i="31"/>
  <c r="AA89" i="31" s="1"/>
  <c r="AB86" i="31" l="1"/>
  <c r="AB87" i="31" s="1"/>
  <c r="AB90" i="31" s="1"/>
  <c r="AB84" i="31"/>
  <c r="AB89" i="31" s="1"/>
  <c r="AB88" i="31"/>
  <c r="AD79" i="31"/>
  <c r="AC83" i="31"/>
  <c r="AE79" i="31" l="1"/>
  <c r="AE83" i="31" s="1"/>
  <c r="AD83" i="31"/>
  <c r="AC86" i="31"/>
  <c r="AC87" i="31" s="1"/>
  <c r="AC90" i="31" s="1"/>
  <c r="AC84" i="31"/>
  <c r="AC89" i="31" s="1"/>
  <c r="AC88" i="31"/>
  <c r="AD86" i="31" l="1"/>
  <c r="AD87" i="31" s="1"/>
  <c r="AD90" i="31" s="1"/>
  <c r="AD84" i="31"/>
  <c r="AD89" i="31" s="1"/>
  <c r="AD88" i="31"/>
  <c r="AE86" i="31"/>
  <c r="AE88" i="31"/>
  <c r="AE84" i="31"/>
  <c r="AE89" i="31" s="1"/>
  <c r="G27" i="31" s="1"/>
  <c r="AE87" i="31" l="1"/>
  <c r="AE90" i="31" s="1"/>
  <c r="G28" i="31" s="1"/>
</calcChain>
</file>

<file path=xl/sharedStrings.xml><?xml version="1.0" encoding="utf-8"?>
<sst xmlns="http://schemas.openxmlformats.org/spreadsheetml/2006/main" count="1692" uniqueCount="634">
  <si>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</si>
  <si>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</si>
  <si>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</si>
  <si>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</si>
  <si>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</si>
  <si>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</si>
  <si>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</si>
  <si>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</si>
  <si>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</si>
  <si>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</si>
  <si>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</si>
  <si>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</si>
  <si>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</si>
  <si>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</si>
  <si>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</si>
  <si>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</si>
  <si>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</si>
  <si>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</si>
  <si>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</si>
  <si>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</si>
  <si>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</si>
  <si>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</si>
  <si>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</si>
  <si>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</si>
  <si>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</si>
  <si>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</si>
  <si>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</si>
  <si>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</si>
  <si>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</si>
  <si>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</si>
  <si>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</si>
  <si>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</si>
  <si>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</si>
  <si>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</si>
  <si>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</si>
  <si>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</si>
  <si>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</si>
  <si>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</si>
  <si>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</si>
  <si>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</si>
  <si>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</si>
  <si>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</si>
  <si>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</si>
  <si>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</si>
  <si>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</si>
  <si>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</si>
  <si>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</si>
  <si>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</si>
  <si>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</si>
  <si>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</si>
  <si>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</si>
  <si>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</si>
  <si>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</si>
  <si>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</si>
  <si>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</si>
  <si>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</si>
  <si>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</si>
  <si>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</si>
  <si>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</si>
  <si>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</si>
  <si>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</si>
  <si>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</si>
  <si>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</si>
  <si>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</si>
  <si>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</si>
  <si>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</si>
  <si>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</si>
  <si>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</si>
  <si>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</si>
  <si>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</si>
  <si>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</si>
  <si>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</si>
  <si>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</si>
  <si>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</si>
  <si>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</si>
  <si>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</si>
  <si>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</si>
  <si>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</si>
  <si>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</si>
  <si>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</si>
  <si>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</si>
  <si>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</si>
  <si>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</si>
  <si>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</si>
  <si>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</si>
  <si>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</si>
  <si>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</si>
  <si>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</si>
  <si>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</si>
  <si>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</si>
  <si>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</si>
  <si>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</si>
  <si>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</si>
  <si>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</si>
  <si>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</si>
  <si>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</si>
  <si>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</si>
  <si>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</si>
  <si>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</si>
  <si>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</si>
  <si>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</si>
  <si>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</si>
  <si>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</si>
  <si>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</si>
  <si>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</si>
  <si>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</si>
  <si>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</si>
  <si>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</si>
  <si>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</si>
  <si>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</si>
  <si>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</si>
  <si>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</si>
  <si>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</si>
  <si>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</si>
  <si>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</si>
  <si>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</si>
  <si>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</si>
  <si>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</si>
  <si>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</si>
  <si>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</si>
  <si>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</si>
  <si>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</si>
  <si>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</si>
  <si>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</si>
  <si>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</si>
  <si>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</si>
  <si>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</si>
  <si>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</si>
  <si>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</si>
  <si>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</si>
  <si>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</si>
  <si>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</si>
  <si>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</si>
  <si>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</si>
  <si>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</si>
  <si>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</si>
  <si>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</si>
  <si>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</si>
  <si>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</si>
  <si>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</si>
  <si>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</si>
  <si>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</si>
  <si>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</si>
  <si>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</si>
  <si>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</si>
  <si>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</si>
  <si>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</si>
  <si>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</si>
  <si>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</si>
  <si>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</si>
  <si>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</si>
  <si>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</si>
  <si>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</si>
  <si>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</si>
  <si>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</si>
  <si>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</si>
  <si>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</si>
  <si>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</si>
  <si>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</si>
  <si>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</si>
  <si>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</si>
  <si>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</si>
  <si>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</si>
  <si>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</si>
  <si>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</si>
  <si>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</si>
  <si>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</si>
  <si>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</si>
  <si>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</si>
  <si>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</si>
  <si>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</si>
  <si>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</si>
  <si>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</si>
  <si>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</si>
  <si>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</si>
  <si>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</si>
  <si>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</si>
  <si>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</si>
  <si>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</si>
  <si>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</si>
  <si>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</si>
  <si>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</si>
  <si>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</si>
  <si>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</si>
  <si>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</si>
  <si>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</si>
  <si>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</si>
  <si>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</si>
  <si>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</si>
  <si>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</si>
  <si>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</si>
  <si>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</si>
  <si>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</si>
  <si>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</si>
  <si>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</si>
  <si>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</si>
  <si>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</si>
  <si>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</si>
  <si>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</si>
  <si>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</si>
  <si>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</si>
  <si>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</si>
  <si>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</si>
  <si>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</si>
  <si>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</si>
  <si>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</si>
  <si>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</si>
  <si>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</si>
  <si>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</si>
  <si>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</si>
  <si>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</si>
  <si>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</si>
  <si>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</si>
  <si>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</si>
  <si>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</si>
  <si>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</si>
  <si>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</si>
  <si>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</si>
  <si>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</si>
  <si>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</si>
  <si>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</si>
  <si>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</si>
  <si>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</si>
  <si>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</si>
  <si>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</si>
  <si>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</si>
  <si>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</si>
  <si>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</si>
  <si>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</si>
  <si>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</si>
  <si>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</si>
  <si>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</si>
  <si>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</si>
  <si>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</si>
  <si>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</si>
  <si>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</si>
  <si>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</si>
  <si>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</si>
  <si>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</si>
  <si>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</si>
  <si>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</si>
  <si>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</si>
  <si>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</si>
  <si>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</si>
  <si>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</si>
  <si>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</si>
  <si>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</si>
  <si>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</si>
  <si>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</si>
  <si>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</si>
  <si>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</si>
  <si>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</si>
  <si>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</si>
  <si>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</si>
  <si>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</si>
  <si>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</si>
  <si>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</si>
  <si>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</si>
  <si>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</si>
  <si>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</si>
  <si>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</si>
  <si>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</si>
  <si>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</si>
  <si>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</si>
  <si>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</si>
  <si>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</si>
  <si>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</si>
  <si>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</si>
  <si>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</si>
  <si>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</si>
  <si>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</si>
  <si>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</si>
  <si>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</si>
  <si>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</si>
  <si>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</si>
  <si>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</si>
  <si>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</si>
  <si>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</si>
  <si>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</si>
  <si>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</si>
  <si>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</si>
  <si>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</si>
  <si>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</si>
  <si>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</si>
  <si>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</si>
  <si>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</si>
  <si>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</si>
  <si>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</si>
  <si>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</si>
  <si>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</si>
  <si>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</si>
  <si>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</si>
  <si>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</si>
  <si>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</si>
  <si>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</si>
  <si>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</si>
  <si>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</si>
  <si>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</si>
  <si>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</si>
  <si>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</si>
  <si>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</si>
  <si>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</si>
  <si>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</si>
  <si>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</si>
  <si>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</si>
  <si>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</si>
  <si>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</si>
  <si>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</si>
  <si>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</si>
  <si>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</si>
  <si>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</si>
  <si>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</si>
  <si>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</si>
  <si>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</si>
  <si>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</si>
  <si>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</si>
  <si>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</si>
  <si>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</si>
  <si>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</si>
  <si>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</si>
  <si>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</si>
  <si>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</si>
  <si>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</si>
  <si>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</si>
  <si>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</si>
  <si>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</si>
  <si>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</si>
  <si>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</si>
  <si>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</si>
  <si>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</si>
  <si>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</si>
  <si>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</si>
  <si>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</si>
  <si>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</si>
  <si>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</si>
  <si>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</si>
  <si>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</si>
  <si>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</si>
  <si>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</si>
  <si>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</si>
  <si>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</si>
  <si>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</si>
  <si>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</si>
  <si>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</si>
  <si>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</si>
  <si>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</si>
  <si>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</si>
  <si>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</si>
  <si>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</si>
  <si>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</si>
  <si>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</si>
  <si>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</si>
  <si>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</si>
  <si>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</si>
  <si>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</si>
  <si>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</si>
  <si>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</si>
  <si>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</si>
  <si>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</si>
  <si>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</si>
  <si>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</si>
  <si>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</si>
  <si>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</si>
  <si>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</si>
  <si>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</si>
  <si>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</si>
  <si>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</si>
  <si>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</si>
  <si>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</si>
  <si>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</si>
  <si>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</si>
  <si>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</si>
  <si>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</si>
  <si>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</si>
  <si>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</si>
  <si>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</si>
  <si>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</si>
  <si>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</si>
  <si>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</si>
  <si>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</si>
  <si>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</si>
  <si>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</si>
  <si>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</si>
  <si>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</si>
  <si>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</si>
  <si>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</si>
  <si>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</si>
  <si>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</si>
  <si>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</si>
  <si>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</si>
  <si>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</si>
  <si>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</si>
  <si>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</si>
  <si>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</si>
  <si>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</si>
  <si>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</si>
  <si>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</si>
  <si>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</si>
  <si>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</si>
  <si>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</si>
  <si>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</si>
  <si>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</si>
  <si>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</si>
  <si>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</si>
  <si>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</si>
  <si>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</si>
  <si>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</si>
  <si>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</si>
  <si>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</si>
  <si>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</si>
  <si>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</si>
  <si>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</si>
  <si>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</si>
  <si>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</si>
  <si>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</si>
  <si>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</si>
  <si>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</si>
  <si>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</si>
  <si>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</si>
  <si>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</si>
  <si>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</si>
  <si>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</si>
  <si>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</si>
  <si>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</si>
  <si>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</si>
  <si>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</si>
  <si>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</si>
  <si>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</si>
  <si>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</si>
  <si>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</si>
  <si>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</si>
  <si>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</si>
  <si>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</si>
  <si>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</si>
  <si>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</si>
  <si>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</si>
  <si>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</si>
  <si>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</si>
  <si>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</si>
  <si>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</si>
  <si>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</si>
  <si>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</si>
  <si>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</si>
  <si>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</si>
  <si>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</si>
  <si>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</si>
  <si>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</si>
  <si>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</si>
  <si>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</si>
  <si>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</si>
  <si>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</si>
  <si>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</si>
  <si>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</si>
  <si>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</si>
  <si>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</si>
  <si>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</si>
  <si>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</si>
  <si>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</si>
  <si>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</si>
  <si>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</si>
  <si>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</si>
  <si>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</si>
  <si>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</si>
  <si>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</si>
  <si>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</si>
  <si>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</si>
  <si>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</si>
  <si>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</si>
  <si>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</si>
  <si>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</si>
  <si>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</si>
  <si>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</si>
  <si>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</si>
  <si>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</si>
  <si>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</si>
  <si>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</si>
  <si>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</si>
  <si>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</si>
  <si>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</si>
  <si>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</si>
  <si>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</si>
  <si>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</si>
  <si>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</si>
  <si>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</si>
  <si>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</si>
  <si>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</si>
  <si>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</si>
  <si>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</si>
  <si>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</si>
  <si>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</si>
  <si>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</si>
  <si>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</si>
  <si>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</si>
  <si>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</si>
  <si>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</si>
  <si>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</si>
  <si>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</si>
  <si>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</si>
  <si>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</si>
  <si>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</si>
  <si>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</si>
  <si>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</si>
  <si>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</si>
  <si>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</si>
  <si>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</si>
  <si>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</si>
  <si>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</si>
  <si>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</si>
  <si>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</si>
  <si>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</si>
  <si>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</si>
  <si>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</si>
  <si>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</si>
  <si>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</si>
  <si>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</si>
  <si>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</si>
  <si>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</si>
  <si>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</si>
  <si>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</si>
  <si>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</si>
  <si>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</si>
  <si>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</si>
  <si>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</si>
  <si>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</si>
  <si>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</si>
  <si>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</si>
  <si>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</si>
  <si>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</si>
  <si>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</si>
  <si>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</si>
  <si>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</si>
  <si>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</si>
  <si>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</si>
  <si>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</si>
  <si>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</si>
  <si>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</si>
  <si>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</si>
  <si>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</si>
  <si>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</si>
  <si>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</si>
  <si>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</si>
  <si>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</si>
  <si>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</si>
  <si>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</si>
  <si>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</si>
  <si>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</si>
  <si>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</si>
  <si>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</si>
  <si>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Выполнение строительно-монтажных работ, пуско-наладочных работ, поставку материально-технических ресурсов и оборудования</t>
  </si>
  <si>
    <t>ССР</t>
  </si>
  <si>
    <t xml:space="preserve"> по состоянию на 01.01.года (N-1)</t>
  </si>
  <si>
    <t>по состоянию на 01.01.года X</t>
  </si>
  <si>
    <t>План (факт) года (N-1)</t>
  </si>
  <si>
    <t>Год N</t>
  </si>
  <si>
    <t>Год (N+1)</t>
  </si>
  <si>
    <t>Год (N+2)</t>
  </si>
  <si>
    <t>П</t>
  </si>
  <si>
    <t>АО "Западная энергетическая компания"</t>
  </si>
  <si>
    <t>Калининградская область.</t>
  </si>
  <si>
    <t>Калининград, ул. Ялтинская 66</t>
  </si>
  <si>
    <t>имеются</t>
  </si>
  <si>
    <t>в составе проекта</t>
  </si>
  <si>
    <t>Регионального значения.</t>
  </si>
  <si>
    <t>Не требуется</t>
  </si>
  <si>
    <t>ТП-1 Ялтинская</t>
  </si>
  <si>
    <t>ячейки КРУ-10кВ 24шт</t>
  </si>
  <si>
    <t>ГРЩ-6кВ</t>
  </si>
  <si>
    <t>РУ-6кВ</t>
  </si>
  <si>
    <t>1961</t>
  </si>
  <si>
    <t>2022</t>
  </si>
  <si>
    <t>1962</t>
  </si>
  <si>
    <t>ТСН-2</t>
  </si>
  <si>
    <t>1967</t>
  </si>
  <si>
    <t>1985</t>
  </si>
  <si>
    <t xml:space="preserve">Модернизация оборудования для обеспечениянадежности электроснабжения.
</t>
  </si>
  <si>
    <t>24 шкафа КРУ-10кВ с РЗА и ПА на микропроцессорной базе</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</si>
  <si>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</si>
  <si>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</si>
  <si>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показатель замены выключателей Вз=24 шт. показатель замены силовых трансформаторов,Рз_тр 100 кВА </t>
  </si>
  <si>
    <t>выключатели отработали 58 лет (с 1961 года )</t>
  </si>
  <si>
    <t>30.02.2022</t>
  </si>
  <si>
    <t xml:space="preserve">01.09.2022
</t>
  </si>
  <si>
    <t>план</t>
  </si>
  <si>
    <t>СМР, оборудование</t>
  </si>
  <si>
    <t>0,1МВА</t>
  </si>
  <si>
    <t>J_19-05</t>
  </si>
  <si>
    <t>Сметная стоимость проекта в прогнозных  ценах   с НДС, млн. руб.</t>
  </si>
  <si>
    <t xml:space="preserve">объект не техприсоединения </t>
  </si>
  <si>
    <t>отказов не зафиксировано</t>
  </si>
  <si>
    <t>реконструкция</t>
  </si>
  <si>
    <t xml:space="preserve"> замена ячеек КРУ-10кВ с маслянными выключателями, с РЗА на базе электромеханикив количестве 24 шт. шкафами КРУ-10кВ с РЗА и ПА на микропроцессорной базе. Показатель замены выключателей 24 шт.</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</si>
  <si>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</si>
  <si>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</si>
  <si>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</si>
  <si>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</si>
  <si>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</si>
  <si>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</si>
  <si>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</si>
  <si>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</si>
  <si>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</si>
  <si>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</si>
  <si>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</si>
  <si>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</si>
  <si>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</si>
  <si>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Трансформатор 10/0,4кВ 100кВА</t>
  </si>
  <si>
    <t>Трансформатор10/0,4кВ 100кВА</t>
  </si>
  <si>
    <t>Год раскрытия информации: 2024 год</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</si>
  <si>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</si>
  <si>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</si>
  <si>
    <t>№ п/п</t>
  </si>
  <si>
    <t xml:space="preserve">Наименование документа - источника данных </t>
  </si>
  <si>
    <t>Годы</t>
  </si>
  <si>
    <t>2021 год</t>
  </si>
  <si>
    <t>2022 год</t>
  </si>
  <si>
    <t>2023 год</t>
  </si>
  <si>
    <t>2024 год</t>
  </si>
  <si>
    <t>2025 год</t>
  </si>
  <si>
    <t>2026 год</t>
  </si>
  <si>
    <t>2027 год</t>
  </si>
  <si>
    <t>2028 год</t>
  </si>
  <si>
    <t>2029 год</t>
  </si>
  <si>
    <t>5.7</t>
  </si>
  <si>
    <t>5.8</t>
  </si>
  <si>
    <t>5.9</t>
  </si>
  <si>
    <t>5.10</t>
  </si>
  <si>
    <t>5.11</t>
  </si>
  <si>
    <t>5.12</t>
  </si>
  <si>
    <t>Индексы- дефляторы, предусмотренные прогнозом социально-экономического развития Российской Федерации на среднесрочный период (в %, к предыдущему году)</t>
  </si>
  <si>
    <t>Прогноз социально-экономического развития Российской Федерации на 2024 год и на плановый период 2025 и 2026 годов</t>
  </si>
  <si>
    <t>Минэкономразвития России 22 сентября 2023 г</t>
  </si>
  <si>
    <t>шкафы КРУ-10 кВ с РЗА и ПА на микропроцессорной базе</t>
  </si>
  <si>
    <t>ячейки КРУ-10 кВ с маслянными выключателями, с РЗА на базе электромеханики. 24шт</t>
  </si>
  <si>
    <t>Предложение по корректировке утв. плана 2024</t>
  </si>
  <si>
    <t>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</si>
</sst>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
      <u/>
      <sz val="14"/>
      <name val="Times New Roman"/>
      <family val="1"/>
      <charset val="204"/>
    </font>
    <font>
      <sz val="10"/>
      <color theme="8" tint="0.79998168889431442"/>
      <name val="Times New Roman"/>
      <family val="1"/>
      <charset val="204"/>
    </font>
    <font>
      <sz val="10"/>
      <color theme="8" tint="0.79998168889431442"/>
      <name val="Arial Cyr"/>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indexed="64"/>
      </left>
      <right style="thin">
        <color indexed="64"/>
      </right>
      <top style="thin">
        <color indexed="64"/>
      </top>
      <bottom style="medium">
        <color indexed="64"/>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s>
  <cellStyleXfs count="13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7"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xf numFmtId="0" fontId="10" fillId="0" borderId="0"/>
  </cellStyleXfs>
  <cellXfs count="42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4" xfId="2" applyFont="1" applyBorder="1" applyAlignment="1">
      <alignment horizontal="justify"/>
    </xf>
    <xf numFmtId="0" fontId="37" fillId="0" borderId="24" xfId="2" applyFont="1" applyBorder="1" applyAlignment="1">
      <alignment horizontal="justify"/>
    </xf>
    <xf numFmtId="0" fontId="37" fillId="0" borderId="25" xfId="2" applyFont="1" applyBorder="1" applyAlignment="1">
      <alignment horizontal="justify"/>
    </xf>
    <xf numFmtId="0" fontId="38" fillId="0" borderId="24" xfId="2" applyFont="1" applyBorder="1" applyAlignment="1">
      <alignment vertical="top" wrapText="1"/>
    </xf>
    <xf numFmtId="0" fontId="38" fillId="0" borderId="26" xfId="2" applyFont="1" applyBorder="1" applyAlignment="1">
      <alignment vertical="top" wrapText="1"/>
    </xf>
    <xf numFmtId="0" fontId="38" fillId="0" borderId="25" xfId="2" applyFont="1" applyBorder="1" applyAlignment="1">
      <alignment vertical="top" wrapText="1"/>
    </xf>
    <xf numFmtId="0" fontId="37" fillId="0" borderId="24" xfId="2" applyFont="1" applyBorder="1" applyAlignment="1">
      <alignment horizontal="justify" vertical="top" wrapText="1"/>
    </xf>
    <xf numFmtId="0" fontId="37" fillId="0" borderId="25" xfId="2" applyFont="1" applyBorder="1" applyAlignment="1">
      <alignment vertical="top" wrapText="1"/>
    </xf>
    <xf numFmtId="0" fontId="37" fillId="0" borderId="24" xfId="2" applyFont="1" applyBorder="1" applyAlignment="1">
      <alignment vertical="top" wrapText="1"/>
    </xf>
    <xf numFmtId="0" fontId="37" fillId="0" borderId="28" xfId="2" applyFont="1" applyBorder="1" applyAlignment="1">
      <alignment vertical="top" wrapText="1"/>
    </xf>
    <xf numFmtId="0" fontId="37" fillId="0" borderId="26" xfId="2" applyFont="1" applyBorder="1" applyAlignment="1">
      <alignment vertical="top" wrapText="1"/>
    </xf>
    <xf numFmtId="0" fontId="38" fillId="0" borderId="26" xfId="2" applyFont="1" applyBorder="1" applyAlignment="1">
      <alignment horizontal="justify" vertical="top" wrapText="1"/>
    </xf>
    <xf numFmtId="0" fontId="38" fillId="0" borderId="24" xfId="2" applyFont="1" applyBorder="1" applyAlignment="1">
      <alignment horizontal="justify" vertical="top" wrapText="1"/>
    </xf>
    <xf numFmtId="0" fontId="37" fillId="0" borderId="29" xfId="2" quotePrefix="1" applyFont="1" applyBorder="1" applyAlignment="1">
      <alignment horizontal="justify" vertical="top" wrapText="1"/>
    </xf>
    <xf numFmtId="0" fontId="37" fillId="0" borderId="30" xfId="2" applyFont="1" applyBorder="1" applyAlignment="1">
      <alignment horizontal="justify" vertical="top" wrapText="1"/>
    </xf>
    <xf numFmtId="0" fontId="37" fillId="0" borderId="29" xfId="2" applyFont="1" applyBorder="1" applyAlignment="1">
      <alignment vertical="top" wrapText="1"/>
    </xf>
    <xf numFmtId="0" fontId="38" fillId="0" borderId="25" xfId="2" applyFont="1" applyBorder="1" applyAlignment="1">
      <alignment horizontal="left" vertical="center" wrapText="1"/>
    </xf>
    <xf numFmtId="0" fontId="37" fillId="0" borderId="29" xfId="2" applyFont="1" applyBorder="1" applyAlignment="1">
      <alignment horizontal="justify" vertical="top" wrapText="1"/>
    </xf>
    <xf numFmtId="0" fontId="38" fillId="0" borderId="25" xfId="2" applyFont="1" applyBorder="1" applyAlignment="1">
      <alignment horizontal="center" vertical="center" wrapText="1"/>
    </xf>
    <xf numFmtId="0" fontId="37" fillId="0" borderId="26"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2" xfId="67" applyNumberFormat="1" applyFont="1" applyBorder="1" applyAlignment="1">
      <alignment vertical="center"/>
    </xf>
    <xf numFmtId="0" fontId="2" fillId="0" borderId="1" xfId="1" applyBorder="1" applyAlignment="1">
      <alignment vertical="center"/>
    </xf>
    <xf numFmtId="172" fontId="37" fillId="0" borderId="24" xfId="2" applyNumberFormat="1" applyFont="1" applyBorder="1" applyAlignment="1">
      <alignment horizontal="justify" vertical="top" wrapText="1"/>
    </xf>
    <xf numFmtId="0" fontId="37" fillId="24" borderId="24" xfId="2" applyFont="1" applyFill="1" applyBorder="1" applyAlignment="1">
      <alignment horizontal="justify" vertical="top" wrapText="1"/>
    </xf>
    <xf numFmtId="172" fontId="37" fillId="24" borderId="24" xfId="2" applyNumberFormat="1" applyFont="1" applyFill="1" applyBorder="1" applyAlignment="1">
      <alignment horizontal="justify" vertical="top" wrapText="1"/>
    </xf>
    <xf numFmtId="10" fontId="37" fillId="0" borderId="24" xfId="2" applyNumberFormat="1" applyFont="1" applyBorder="1" applyAlignment="1">
      <alignment horizontal="justify" vertical="top" wrapText="1"/>
    </xf>
    <xf numFmtId="10" fontId="37" fillId="0" borderId="30" xfId="2" applyNumberFormat="1" applyFont="1" applyBorder="1" applyAlignment="1">
      <alignment horizontal="justify" vertical="top" wrapText="1"/>
    </xf>
    <xf numFmtId="0" fontId="10" fillId="0" borderId="1" xfId="62" applyFont="1" applyBorder="1" applyAlignment="1">
      <alignment horizontal="center" vertical="center" wrapText="1"/>
    </xf>
    <xf numFmtId="9" fontId="2" fillId="0" borderId="1" xfId="68" applyFont="1" applyBorder="1" applyAlignment="1">
      <alignment horizontal="left"/>
    </xf>
    <xf numFmtId="173" fontId="39"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9" fillId="0" borderId="1" xfId="62" applyNumberFormat="1" applyFont="1" applyBorder="1" applyAlignment="1" applyProtection="1">
      <alignment horizontal="center" vertical="center" wrapText="1"/>
      <protection locked="0"/>
    </xf>
    <xf numFmtId="173" fontId="36" fillId="0" borderId="1" xfId="2" applyNumberFormat="1" applyFont="1" applyBorder="1" applyAlignment="1">
      <alignment horizontal="center" vertical="center" wrapText="1"/>
    </xf>
    <xf numFmtId="0" fontId="37" fillId="0" borderId="27" xfId="2" applyFont="1" applyBorder="1" applyAlignment="1">
      <alignment horizontal="left" vertical="center" wrapText="1"/>
    </xf>
    <xf numFmtId="4" fontId="37" fillId="0" borderId="24" xfId="2" applyNumberFormat="1" applyFont="1" applyBorder="1" applyAlignment="1">
      <alignment horizontal="justify" vertical="top" wrapText="1"/>
    </xf>
    <xf numFmtId="0" fontId="37" fillId="0" borderId="24" xfId="2" applyFont="1" applyBorder="1" applyAlignment="1">
      <alignment horizontal="justify" vertical="center"/>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5" xfId="2" applyFont="1" applyBorder="1" applyAlignment="1">
      <alignment horizontal="left" vertical="top" wrapText="1"/>
    </xf>
    <xf numFmtId="0" fontId="52" fillId="0" borderId="0" xfId="1" applyFont="1" applyAlignment="1">
      <alignment horizontal="left" vertical="center"/>
    </xf>
    <xf numFmtId="0" fontId="51" fillId="0" borderId="0" xfId="1" applyFont="1"/>
    <xf numFmtId="0" fontId="45" fillId="0" borderId="0" xfId="1" applyFont="1" applyAlignment="1">
      <alignment vertical="center"/>
    </xf>
    <xf numFmtId="0" fontId="11" fillId="0" borderId="0" xfId="1" applyFont="1" applyAlignment="1">
      <alignment horizontal="center" vertical="center"/>
    </xf>
    <xf numFmtId="0" fontId="55" fillId="0" borderId="0" xfId="1" applyFont="1" applyAlignment="1">
      <alignment vertical="center"/>
    </xf>
    <xf numFmtId="0" fontId="10" fillId="0" borderId="0" xfId="1" applyFont="1" applyAlignment="1">
      <alignment vertical="center"/>
    </xf>
    <xf numFmtId="0" fontId="54"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7"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8" fillId="0" borderId="0" xfId="0" applyFont="1"/>
    <xf numFmtId="0" fontId="11" fillId="0" borderId="0" xfId="1" applyFont="1" applyAlignment="1">
      <alignment vertical="center"/>
    </xf>
    <xf numFmtId="0" fontId="37" fillId="0" borderId="0" xfId="49" applyFont="1"/>
    <xf numFmtId="0" fontId="38" fillId="0" borderId="0" xfId="49" applyFont="1"/>
    <xf numFmtId="0" fontId="56" fillId="0" borderId="1" xfId="0" applyFont="1" applyBorder="1" applyAlignment="1">
      <alignment horizontal="center" vertical="center"/>
    </xf>
    <xf numFmtId="0" fontId="56" fillId="0" borderId="1" xfId="0" applyFont="1" applyBorder="1" applyAlignment="1">
      <alignment horizontal="center" vertical="center" wrapText="1"/>
    </xf>
    <xf numFmtId="0" fontId="56" fillId="0" borderId="3" xfId="0" applyFont="1" applyBorder="1" applyAlignment="1">
      <alignment horizontal="center" vertical="center" wrapText="1"/>
    </xf>
    <xf numFmtId="0" fontId="56" fillId="0" borderId="10" xfId="0" applyFont="1" applyBorder="1" applyAlignment="1">
      <alignment horizontal="center" vertical="center"/>
    </xf>
    <xf numFmtId="0" fontId="56" fillId="0" borderId="10" xfId="0" applyFont="1" applyBorder="1" applyAlignment="1">
      <alignment horizontal="center" vertical="center" wrapText="1"/>
    </xf>
    <xf numFmtId="0" fontId="58" fillId="0" borderId="1" xfId="0" applyFont="1" applyBorder="1" applyAlignment="1">
      <alignment wrapText="1"/>
    </xf>
    <xf numFmtId="0" fontId="58" fillId="0" borderId="1" xfId="0" applyFont="1" applyBorder="1" applyAlignment="1">
      <alignment horizontal="center" vertical="center"/>
    </xf>
    <xf numFmtId="0" fontId="58" fillId="0" borderId="1" xfId="0" applyFont="1" applyBorder="1"/>
    <xf numFmtId="0" fontId="58" fillId="0" borderId="3" xfId="0" applyFont="1" applyBorder="1" applyAlignment="1">
      <alignment horizontal="center" vertical="center"/>
    </xf>
    <xf numFmtId="0" fontId="58" fillId="0" borderId="1" xfId="0" applyFont="1" applyBorder="1" applyAlignment="1">
      <alignment horizontal="center" wrapText="1"/>
    </xf>
    <xf numFmtId="0" fontId="58" fillId="0" borderId="1" xfId="0" applyFont="1" applyBorder="1" applyAlignment="1">
      <alignment vertical="center"/>
    </xf>
    <xf numFmtId="0" fontId="56"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6" fillId="0" borderId="1" xfId="49" applyNumberFormat="1" applyFont="1" applyBorder="1" applyAlignment="1">
      <alignment horizontal="center" vertical="center"/>
    </xf>
    <xf numFmtId="0" fontId="66" fillId="0" borderId="1" xfId="49" applyFont="1" applyBorder="1" applyAlignment="1">
      <alignment horizontal="center" vertical="center"/>
    </xf>
    <xf numFmtId="0" fontId="66"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4" xfId="2" applyFont="1" applyFill="1" applyBorder="1" applyAlignment="1">
      <alignment horizontal="justify" vertical="top" wrapText="1"/>
    </xf>
    <xf numFmtId="4" fontId="37" fillId="25" borderId="24"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10"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29" xfId="2" applyNumberFormat="1" applyFont="1" applyBorder="1" applyAlignment="1">
      <alignment horizontal="justify" vertical="top" wrapText="1"/>
    </xf>
    <xf numFmtId="4" fontId="39" fillId="0" borderId="33" xfId="62" applyNumberFormat="1" applyFont="1" applyBorder="1" applyAlignment="1">
      <alignment horizontal="left" vertical="center" wrapText="1"/>
    </xf>
    <xf numFmtId="0" fontId="37" fillId="0" borderId="24" xfId="2" applyFont="1" applyBorder="1" applyAlignment="1">
      <alignment horizontal="left" vertical="top" wrapText="1"/>
    </xf>
    <xf numFmtId="0" fontId="37" fillId="0" borderId="29"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3" fontId="72" fillId="0" borderId="32" xfId="67" applyNumberFormat="1" applyFont="1" applyBorder="1" applyAlignment="1">
      <alignment vertical="center"/>
    </xf>
    <xf numFmtId="49" fontId="10" fillId="0" borderId="1" xfId="62" applyNumberFormat="1" applyFont="1" applyBorder="1" applyAlignment="1">
      <alignment horizontal="center" vertical="center" wrapText="1"/>
    </xf>
    <xf numFmtId="0" fontId="73"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74" fillId="0" borderId="24" xfId="128" applyFill="1" applyBorder="1" applyAlignment="1">
      <alignment horizontal="justify"/>
    </xf>
    <xf numFmtId="0" fontId="28" fillId="0" borderId="0" xfId="0" applyFont="1"/>
    <xf numFmtId="0" fontId="75" fillId="0" borderId="0" xfId="0" applyFont="1"/>
    <xf numFmtId="0" fontId="42" fillId="0" borderId="0" xfId="0" applyFont="1" applyAlignment="1">
      <alignment horizontal="right" vertical="center"/>
    </xf>
    <xf numFmtId="0" fontId="69" fillId="0" borderId="0" xfId="0" applyFont="1"/>
    <xf numFmtId="0" fontId="76" fillId="0" borderId="0" xfId="0" applyFont="1"/>
    <xf numFmtId="0" fontId="77" fillId="0" borderId="0" xfId="0" applyFont="1"/>
    <xf numFmtId="0" fontId="42" fillId="0" borderId="0" xfId="0" applyFont="1" applyAlignment="1">
      <alignment horizontal="right"/>
    </xf>
    <xf numFmtId="0" fontId="78" fillId="0" borderId="0" xfId="0" applyFont="1" applyAlignment="1">
      <alignment horizontal="left" vertical="center"/>
    </xf>
    <xf numFmtId="0" fontId="79" fillId="0" borderId="0" xfId="0" applyFont="1" applyAlignment="1">
      <alignment horizontal="left" vertical="center"/>
    </xf>
    <xf numFmtId="0" fontId="80" fillId="0" borderId="0" xfId="0" applyFont="1" applyAlignment="1">
      <alignment vertical="center"/>
    </xf>
    <xf numFmtId="0" fontId="70" fillId="0" borderId="0" xfId="0" applyFont="1" applyAlignment="1">
      <alignment vertical="center"/>
    </xf>
    <xf numFmtId="0" fontId="80" fillId="0" borderId="0" xfId="0" applyFont="1" applyAlignment="1">
      <alignment horizontal="center" vertical="center"/>
    </xf>
    <xf numFmtId="0" fontId="82" fillId="0" borderId="0" xfId="0" applyFont="1" applyAlignment="1">
      <alignment vertical="center"/>
    </xf>
    <xf numFmtId="0" fontId="71" fillId="0" borderId="0" xfId="0" applyFont="1" applyAlignment="1">
      <alignment vertical="center"/>
    </xf>
    <xf numFmtId="0" fontId="42" fillId="0" borderId="0" xfId="0" applyFont="1" applyAlignment="1">
      <alignment horizontal="center" vertical="center"/>
    </xf>
    <xf numFmtId="0" fontId="71" fillId="0" borderId="0" xfId="0" applyFont="1" applyAlignment="1">
      <alignment horizontal="center" vertical="center"/>
    </xf>
    <xf numFmtId="0" fontId="82" fillId="0" borderId="0" xfId="0" applyFont="1" applyAlignment="1">
      <alignment vertical="center" wrapText="1"/>
    </xf>
    <xf numFmtId="0" fontId="71" fillId="0" borderId="0" xfId="0" applyFont="1"/>
    <xf numFmtId="0" fontId="82"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1" xfId="0" applyFont="1" applyBorder="1" applyAlignment="1">
      <alignment vertical="center"/>
    </xf>
    <xf numFmtId="0" fontId="71" fillId="0" borderId="33" xfId="0" applyFont="1" applyBorder="1" applyAlignment="1">
      <alignment vertical="center"/>
    </xf>
    <xf numFmtId="3" fontId="71" fillId="0" borderId="37" xfId="0" applyNumberFormat="1" applyFont="1" applyBorder="1" applyAlignment="1">
      <alignment vertical="center"/>
    </xf>
    <xf numFmtId="0" fontId="71" fillId="0" borderId="38" xfId="0" applyFont="1" applyBorder="1" applyAlignment="1">
      <alignment vertical="center"/>
    </xf>
    <xf numFmtId="0" fontId="71" fillId="0" borderId="39" xfId="0" applyFont="1" applyBorder="1" applyAlignment="1">
      <alignment vertical="center"/>
    </xf>
    <xf numFmtId="3" fontId="71" fillId="0" borderId="40" xfId="0" applyNumberFormat="1" applyFont="1" applyBorder="1" applyAlignment="1">
      <alignment vertical="center"/>
    </xf>
    <xf numFmtId="4" fontId="42" fillId="0" borderId="44" xfId="0" applyNumberFormat="1" applyFont="1" applyBorder="1" applyAlignment="1">
      <alignment horizontal="center" vertical="center"/>
    </xf>
    <xf numFmtId="4" fontId="83" fillId="0" borderId="5" xfId="0" applyNumberFormat="1" applyFont="1" applyBorder="1" applyAlignment="1">
      <alignment horizontal="center" vertical="center"/>
    </xf>
    <xf numFmtId="3" fontId="42" fillId="0" borderId="44" xfId="0" applyNumberFormat="1" applyFont="1" applyBorder="1" applyAlignment="1">
      <alignment horizontal="center" vertical="center"/>
    </xf>
    <xf numFmtId="3" fontId="83" fillId="0" borderId="5" xfId="0" applyNumberFormat="1" applyFont="1" applyBorder="1" applyAlignment="1">
      <alignment horizontal="center" vertical="center"/>
    </xf>
    <xf numFmtId="0" fontId="71" fillId="0" borderId="44" xfId="0" applyFont="1" applyBorder="1" applyAlignment="1">
      <alignment horizontal="center" vertical="center"/>
    </xf>
    <xf numFmtId="0" fontId="83" fillId="0" borderId="5" xfId="0" applyFont="1" applyBorder="1" applyAlignment="1">
      <alignment horizontal="center" vertical="center"/>
    </xf>
    <xf numFmtId="0" fontId="71" fillId="0" borderId="45" xfId="0" applyFont="1" applyBorder="1" applyAlignment="1">
      <alignment vertical="center"/>
    </xf>
    <xf numFmtId="10" fontId="71" fillId="0" borderId="40" xfId="0" applyNumberFormat="1" applyFont="1" applyBorder="1" applyAlignment="1">
      <alignment vertical="center"/>
    </xf>
    <xf numFmtId="3" fontId="71" fillId="0" borderId="32" xfId="0" applyNumberFormat="1" applyFont="1" applyBorder="1" applyAlignment="1">
      <alignment vertical="center"/>
    </xf>
    <xf numFmtId="9" fontId="71" fillId="0" borderId="46" xfId="0" applyNumberFormat="1" applyFont="1" applyBorder="1" applyAlignment="1">
      <alignment vertical="center"/>
    </xf>
    <xf numFmtId="0" fontId="71" fillId="0" borderId="35" xfId="0" applyFont="1" applyBorder="1" applyAlignment="1">
      <alignment vertical="center"/>
    </xf>
    <xf numFmtId="3" fontId="71" fillId="0" borderId="31" xfId="0" applyNumberFormat="1" applyFont="1" applyBorder="1" applyAlignment="1">
      <alignment vertical="center"/>
    </xf>
    <xf numFmtId="0" fontId="71" fillId="0" borderId="47" xfId="0" applyFont="1" applyBorder="1" applyAlignment="1">
      <alignment vertical="center"/>
    </xf>
    <xf numFmtId="10" fontId="71" fillId="0" borderId="34" xfId="0" applyNumberFormat="1" applyFont="1" applyBorder="1" applyAlignment="1">
      <alignment vertical="center"/>
    </xf>
    <xf numFmtId="10" fontId="71" fillId="0" borderId="38" xfId="0" applyNumberFormat="1" applyFont="1" applyBorder="1" applyAlignment="1">
      <alignment vertical="center"/>
    </xf>
    <xf numFmtId="10" fontId="71" fillId="0" borderId="38" xfId="67" applyNumberFormat="1" applyFont="1" applyBorder="1" applyAlignment="1">
      <alignment vertical="center"/>
    </xf>
    <xf numFmtId="10" fontId="42" fillId="0" borderId="38" xfId="0" applyNumberFormat="1" applyFont="1" applyBorder="1" applyAlignment="1">
      <alignment vertical="center"/>
    </xf>
    <xf numFmtId="0" fontId="71" fillId="0" borderId="48" xfId="0" applyFont="1" applyBorder="1" applyAlignment="1">
      <alignment vertical="center"/>
    </xf>
    <xf numFmtId="0" fontId="84" fillId="0" borderId="0" xfId="0" applyFont="1" applyAlignment="1">
      <alignment vertical="center"/>
    </xf>
    <xf numFmtId="0" fontId="71" fillId="0" borderId="36" xfId="0" applyFont="1" applyBorder="1" applyAlignment="1">
      <alignment horizontal="left" vertical="center"/>
    </xf>
    <xf numFmtId="1" fontId="71" fillId="0" borderId="23" xfId="0" applyNumberFormat="1" applyFont="1" applyBorder="1" applyAlignment="1">
      <alignment horizontal="center" vertical="center"/>
    </xf>
    <xf numFmtId="1" fontId="71" fillId="0" borderId="49" xfId="0" applyNumberFormat="1" applyFont="1" applyBorder="1" applyAlignment="1">
      <alignment horizontal="center" vertical="center"/>
    </xf>
    <xf numFmtId="0" fontId="71" fillId="0" borderId="50" xfId="0" applyFont="1" applyBorder="1" applyAlignment="1">
      <alignment vertical="center"/>
    </xf>
    <xf numFmtId="10" fontId="71" fillId="0" borderId="44" xfId="0" applyNumberFormat="1" applyFont="1" applyBorder="1" applyAlignment="1">
      <alignment vertical="center"/>
    </xf>
    <xf numFmtId="0" fontId="71" fillId="0" borderId="51" xfId="0" applyFont="1" applyBorder="1" applyAlignment="1">
      <alignment vertical="center"/>
    </xf>
    <xf numFmtId="3" fontId="71" fillId="0" borderId="52" xfId="67" applyNumberFormat="1" applyFont="1" applyBorder="1" applyAlignment="1">
      <alignment vertical="center"/>
    </xf>
    <xf numFmtId="0" fontId="71" fillId="0" borderId="53" xfId="0" applyFont="1" applyBorder="1" applyAlignment="1">
      <alignment vertical="center"/>
    </xf>
    <xf numFmtId="0" fontId="71" fillId="0" borderId="54" xfId="0" applyFont="1" applyBorder="1" applyAlignment="1">
      <alignment vertical="center"/>
    </xf>
    <xf numFmtId="0" fontId="70" fillId="0" borderId="36" xfId="0" applyFont="1" applyBorder="1" applyAlignment="1">
      <alignment vertical="center"/>
    </xf>
    <xf numFmtId="3" fontId="71" fillId="0" borderId="44" xfId="0" applyNumberFormat="1" applyFont="1" applyBorder="1" applyAlignment="1">
      <alignment vertical="center"/>
    </xf>
    <xf numFmtId="3" fontId="71" fillId="0" borderId="55" xfId="0" applyNumberFormat="1" applyFont="1" applyBorder="1" applyAlignment="1">
      <alignment vertical="center"/>
    </xf>
    <xf numFmtId="3" fontId="71" fillId="0" borderId="52" xfId="0" applyNumberFormat="1" applyFont="1" applyBorder="1" applyAlignment="1">
      <alignment vertical="center"/>
    </xf>
    <xf numFmtId="3" fontId="71" fillId="0" borderId="56" xfId="0" applyNumberFormat="1" applyFont="1" applyBorder="1" applyAlignment="1">
      <alignment vertical="center"/>
    </xf>
    <xf numFmtId="3" fontId="84" fillId="0" borderId="0" xfId="0" applyNumberFormat="1" applyFont="1" applyAlignment="1">
      <alignment horizontal="center" vertical="center"/>
    </xf>
    <xf numFmtId="3" fontId="84" fillId="0" borderId="54" xfId="0" applyNumberFormat="1" applyFont="1" applyBorder="1" applyAlignment="1">
      <alignment horizontal="center" vertical="center"/>
    </xf>
    <xf numFmtId="174" fontId="42" fillId="0" borderId="44" xfId="0" applyNumberFormat="1" applyFont="1" applyBorder="1" applyAlignment="1">
      <alignment horizontal="center" vertical="center"/>
    </xf>
    <xf numFmtId="0" fontId="71" fillId="0" borderId="50" xfId="0" applyFont="1" applyBorder="1" applyAlignment="1">
      <alignment horizontal="left" vertical="center"/>
    </xf>
    <xf numFmtId="3" fontId="71" fillId="0" borderId="44" xfId="0" applyNumberFormat="1" applyFont="1" applyBorder="1" applyAlignment="1">
      <alignment horizontal="right" vertical="center"/>
    </xf>
    <xf numFmtId="165" fontId="71" fillId="0" borderId="44" xfId="0" applyNumberFormat="1" applyFont="1" applyBorder="1" applyAlignment="1">
      <alignment vertical="center"/>
    </xf>
    <xf numFmtId="0" fontId="70" fillId="0" borderId="50" xfId="0" applyFont="1" applyBorder="1" applyAlignment="1">
      <alignment horizontal="left" vertical="center"/>
    </xf>
    <xf numFmtId="174" fontId="80" fillId="0" borderId="44" xfId="0" applyNumberFormat="1" applyFont="1" applyBorder="1" applyAlignment="1">
      <alignment horizontal="center" vertical="center"/>
    </xf>
    <xf numFmtId="174" fontId="42" fillId="0" borderId="44" xfId="0" applyNumberFormat="1" applyFont="1" applyBorder="1" applyAlignment="1">
      <alignment horizontal="center"/>
    </xf>
    <xf numFmtId="174" fontId="71" fillId="0" borderId="44" xfId="0" applyNumberFormat="1" applyFont="1" applyBorder="1" applyAlignment="1">
      <alignment vertical="center"/>
    </xf>
    <xf numFmtId="0" fontId="70" fillId="0" borderId="51" xfId="0" applyFont="1" applyBorder="1" applyAlignment="1">
      <alignment horizontal="left" vertical="center"/>
    </xf>
    <xf numFmtId="174" fontId="80" fillId="0" borderId="52" xfId="0" applyNumberFormat="1" applyFont="1" applyBorder="1" applyAlignment="1">
      <alignment horizontal="center" vertical="center"/>
    </xf>
    <xf numFmtId="168" fontId="84" fillId="0" borderId="0" xfId="0" applyNumberFormat="1" applyFont="1" applyAlignment="1">
      <alignment horizontal="center" vertical="center"/>
    </xf>
    <xf numFmtId="0" fontId="70" fillId="0" borderId="50" xfId="0" applyFont="1" applyBorder="1" applyAlignment="1">
      <alignment vertical="center"/>
    </xf>
    <xf numFmtId="3" fontId="42" fillId="0" borderId="44" xfId="67" applyNumberFormat="1" applyFont="1" applyBorder="1" applyAlignment="1">
      <alignment vertical="center"/>
    </xf>
    <xf numFmtId="0" fontId="71" fillId="0" borderId="50" xfId="0" applyFont="1" applyBorder="1" applyAlignment="1">
      <alignment horizontal="left" vertical="center" wrapText="1"/>
    </xf>
    <xf numFmtId="175" fontId="42" fillId="0" borderId="44" xfId="0" applyNumberFormat="1" applyFont="1" applyBorder="1" applyAlignment="1">
      <alignment horizontal="center"/>
    </xf>
    <xf numFmtId="170" fontId="80" fillId="0" borderId="44" xfId="0" applyNumberFormat="1" applyFont="1" applyBorder="1" applyAlignment="1">
      <alignment horizontal="center" vertical="center"/>
    </xf>
    <xf numFmtId="164" fontId="80" fillId="0" borderId="44" xfId="0" applyNumberFormat="1" applyFont="1" applyBorder="1" applyAlignment="1">
      <alignment horizontal="center" vertical="center"/>
    </xf>
    <xf numFmtId="0" fontId="70" fillId="0" borderId="51" xfId="0" applyFont="1" applyBorder="1" applyAlignment="1">
      <alignment vertical="center"/>
    </xf>
    <xf numFmtId="164" fontId="80" fillId="0" borderId="52" xfId="0" applyNumberFormat="1" applyFont="1" applyBorder="1" applyAlignment="1">
      <alignment horizontal="center" vertical="center"/>
    </xf>
    <xf numFmtId="0" fontId="71" fillId="0" borderId="57"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10" fontId="71" fillId="0" borderId="44" xfId="67" applyNumberFormat="1" applyFont="1" applyBorder="1" applyAlignment="1">
      <alignment vertical="center"/>
    </xf>
    <xf numFmtId="164" fontId="42" fillId="0" borderId="44" xfId="0" applyNumberFormat="1" applyFont="1" applyBorder="1" applyAlignment="1">
      <alignment horizontal="center"/>
    </xf>
    <xf numFmtId="0" fontId="86" fillId="0" borderId="0" xfId="2" applyFont="1" applyAlignment="1">
      <alignment vertical="center"/>
    </xf>
    <xf numFmtId="0" fontId="10" fillId="0" borderId="1" xfId="2" applyBorder="1" applyAlignment="1">
      <alignment horizontal="center" vertical="center" wrapText="1"/>
    </xf>
    <xf numFmtId="0" fontId="10" fillId="0" borderId="0" xfId="52"/>
    <xf numFmtId="0" fontId="10" fillId="0" borderId="1" xfId="2" applyBorder="1" applyAlignment="1">
      <alignment horizontal="center" vertical="center" textRotation="90" wrapText="1"/>
    </xf>
    <xf numFmtId="0" fontId="10" fillId="0" borderId="44" xfId="129" applyBorder="1" applyAlignment="1">
      <alignment horizontal="center" vertical="center" wrapText="1"/>
    </xf>
    <xf numFmtId="0" fontId="72" fillId="0" borderId="44" xfId="0" applyFont="1" applyBorder="1" applyAlignment="1">
      <alignment horizontal="center" vertical="center" wrapText="1"/>
    </xf>
    <xf numFmtId="0" fontId="72" fillId="0" borderId="6" xfId="0" applyFont="1" applyBorder="1" applyAlignment="1">
      <alignment horizontal="center" vertical="center" wrapText="1"/>
    </xf>
    <xf numFmtId="49" fontId="72" fillId="0" borderId="44" xfId="0" applyNumberFormat="1" applyFont="1" applyBorder="1" applyAlignment="1">
      <alignment horizontal="center" vertical="center" wrapText="1"/>
    </xf>
    <xf numFmtId="0" fontId="72" fillId="0" borderId="44" xfId="0" applyFont="1" applyBorder="1" applyAlignment="1">
      <alignment vertical="center" wrapText="1"/>
    </xf>
    <xf numFmtId="168" fontId="72" fillId="0" borderId="44" xfId="0" applyNumberFormat="1" applyFont="1" applyBorder="1" applyAlignment="1">
      <alignment horizontal="center" vertical="center" wrapText="1"/>
    </xf>
    <xf numFmtId="0" fontId="69" fillId="0" borderId="44" xfId="0" applyFont="1" applyBorder="1"/>
    <xf numFmtId="0" fontId="71" fillId="0" borderId="44" xfId="0" applyFont="1" applyBorder="1" applyAlignment="1">
      <alignment vertical="center"/>
    </xf>
    <xf numFmtId="0" fontId="87" fillId="0" borderId="0" xfId="0" applyFont="1" applyAlignment="1">
      <alignment vertical="center"/>
    </xf>
    <xf numFmtId="0" fontId="88" fillId="0" borderId="0" xfId="0"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4" fillId="0" borderId="0" xfId="1" applyFont="1" applyAlignment="1">
      <alignment horizontal="center" vertical="center" wrapText="1"/>
    </xf>
    <xf numFmtId="0" fontId="53" fillId="0" borderId="0" xfId="1" applyFont="1" applyAlignment="1">
      <alignment horizontal="center" vertical="center"/>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39" fillId="0" borderId="0" xfId="1" applyFont="1" applyAlignment="1">
      <alignment horizontal="center" vertical="center"/>
    </xf>
    <xf numFmtId="0" fontId="54"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4" fillId="0" borderId="0" xfId="1" applyFont="1" applyAlignment="1">
      <alignment horizontal="center" vertical="center"/>
    </xf>
    <xf numFmtId="0" fontId="10" fillId="0" borderId="20" xfId="62" applyFont="1" applyBorder="1" applyAlignment="1">
      <alignment horizontal="left" vertical="center"/>
    </xf>
    <xf numFmtId="0" fontId="39"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6" fillId="0" borderId="1" xfId="0" applyFont="1" applyBorder="1" applyAlignment="1">
      <alignment horizontal="center" vertical="center"/>
    </xf>
    <xf numFmtId="0" fontId="56" fillId="0" borderId="4" xfId="0" applyFont="1" applyBorder="1" applyAlignment="1">
      <alignment horizontal="center" vertical="center"/>
    </xf>
    <xf numFmtId="0" fontId="56" fillId="0" borderId="7" xfId="0" applyFont="1" applyBorder="1" applyAlignment="1">
      <alignment horizontal="center" vertical="center"/>
    </xf>
    <xf numFmtId="0" fontId="56"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72" fillId="0" borderId="41" xfId="0" applyFont="1" applyBorder="1" applyAlignment="1">
      <alignment horizontal="center" vertical="center" wrapText="1"/>
    </xf>
    <xf numFmtId="0" fontId="72" fillId="0" borderId="43" xfId="0" applyFont="1" applyBorder="1" applyAlignment="1">
      <alignment horizontal="center" vertical="center" wrapText="1"/>
    </xf>
    <xf numFmtId="0" fontId="72" fillId="0" borderId="44" xfId="0" applyFont="1" applyBorder="1" applyAlignment="1">
      <alignment horizontal="center" vertical="center" wrapText="1"/>
    </xf>
    <xf numFmtId="0" fontId="42" fillId="0" borderId="0" xfId="0" applyFont="1" applyAlignment="1">
      <alignment horizontal="center" vertical="center"/>
    </xf>
    <xf numFmtId="0" fontId="80" fillId="0" borderId="0" xfId="0" applyFont="1" applyAlignment="1">
      <alignment horizontal="center" vertical="center"/>
    </xf>
    <xf numFmtId="0" fontId="81" fillId="0" borderId="0" xfId="0" applyFont="1" applyAlignment="1">
      <alignment horizontal="center" vertical="center"/>
    </xf>
    <xf numFmtId="0" fontId="71" fillId="0" borderId="41" xfId="0" applyFont="1" applyBorder="1" applyAlignment="1">
      <alignment horizontal="center" vertical="center"/>
    </xf>
    <xf numFmtId="0" fontId="71" fillId="0" borderId="42" xfId="0" applyFont="1" applyBorder="1" applyAlignment="1">
      <alignment horizontal="center" vertical="center"/>
    </xf>
    <xf numFmtId="0" fontId="71" fillId="0" borderId="43" xfId="0" applyFont="1" applyBorder="1" applyAlignment="1">
      <alignment horizontal="center" vertical="center"/>
    </xf>
    <xf numFmtId="0" fontId="71" fillId="0" borderId="0" xfId="0" applyFont="1" applyAlignment="1">
      <alignment horizontal="left" vertical="center" wrapText="1"/>
    </xf>
    <xf numFmtId="0" fontId="80" fillId="0" borderId="0" xfId="0" applyFont="1" applyAlignment="1">
      <alignment horizontal="center" vertical="center" wrapText="1"/>
    </xf>
    <xf numFmtId="0" fontId="71" fillId="0" borderId="0" xfId="0" applyFont="1" applyAlignment="1">
      <alignment horizontal="center" vertical="center"/>
    </xf>
    <xf numFmtId="0" fontId="82" fillId="0" borderId="0" xfId="0" applyFont="1" applyAlignment="1">
      <alignment horizontal="center" vertical="center"/>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9" fillId="0" borderId="0" xfId="0" applyFont="1" applyAlignment="1">
      <alignment horizontal="center" vertical="center"/>
    </xf>
    <xf numFmtId="0" fontId="50" fillId="0" borderId="0" xfId="1" applyFont="1" applyAlignment="1">
      <alignment horizontal="center" vertical="center"/>
    </xf>
    <xf numFmtId="0" fontId="50"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10" fillId="0" borderId="1" xfId="52" applyBorder="1" applyAlignment="1">
      <alignment horizontal="center" vertical="center" wrapText="1"/>
    </xf>
    <xf numFmtId="0" fontId="10" fillId="0" borderId="1" xfId="2" applyBorder="1" applyAlignment="1">
      <alignment horizontal="center" vertical="center" wrapText="1"/>
    </xf>
    <xf numFmtId="0" fontId="10" fillId="0" borderId="4" xfId="52" applyBorder="1" applyAlignment="1">
      <alignment horizontal="center" vertical="center"/>
    </xf>
    <xf numFmtId="0" fontId="10" fillId="0" borderId="7" xfId="52" applyBorder="1" applyAlignment="1">
      <alignment horizontal="center" vertical="center"/>
    </xf>
    <xf numFmtId="0" fontId="10" fillId="0" borderId="3" xfId="52" applyBorder="1" applyAlignment="1">
      <alignment horizontal="center" vertical="center"/>
    </xf>
    <xf numFmtId="0" fontId="46"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1" xfId="2" applyBorder="1" applyAlignment="1">
      <alignment horizontal="center" vertical="center"/>
    </xf>
    <xf numFmtId="0" fontId="10" fillId="0" borderId="0" xfId="0" applyFont="1" applyAlignment="1">
      <alignment horizontal="center" vertical="center"/>
    </xf>
    <xf numFmtId="0" fontId="46" fillId="0" borderId="0" xfId="1" applyFont="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5"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53" fillId="0" borderId="0" xfId="1" applyFont="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5" xfId="2" applyFont="1" applyBorder="1" applyAlignment="1">
      <alignment horizontal="left" vertical="top" wrapText="1"/>
    </xf>
    <xf numFmtId="0" fontId="37" fillId="0" borderId="28" xfId="2" applyFont="1" applyBorder="1" applyAlignment="1">
      <alignment horizontal="left" vertical="top" wrapText="1"/>
    </xf>
    <xf numFmtId="0" fontId="37" fillId="0" borderId="26" xfId="2" applyFont="1" applyBorder="1" applyAlignment="1">
      <alignment horizontal="left" vertical="top" wrapText="1"/>
    </xf>
    <xf numFmtId="0" fontId="45" fillId="0" borderId="0" xfId="2" applyFont="1" applyAlignment="1">
      <alignment horizontal="center"/>
    </xf>
    <xf numFmtId="173" fontId="10" fillId="0" borderId="1" xfId="2" applyNumberFormat="1" applyFont="1" applyBorder="1" applyAlignment="1">
      <alignment horizontal="center" vertical="center" wrapText="1"/>
    </xf>
  </cellXfs>
  <cellStyles count="13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4" xfId="129" xr:uid="{E2901DBB-618E-472B-AE40-BB28107CAE54}"/>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21">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 эфф'!$A$86</c:f>
              <c:strCache>
                <c:ptCount val="1"/>
                <c:pt idx="0">
                  <c:v>PV</c:v>
                </c:pt>
              </c:strCache>
            </c:strRef>
          </c:tx>
          <c:marker>
            <c:symbol val="none"/>
          </c:marker>
          <c:val>
            <c:numRef>
              <c:f>'5 анализ эк эфф'!$B$86:$N$86</c:f>
              <c:numCache>
                <c:formatCode>_-* #\ ##0\ _₽_-;\-* #\ ##0\ _₽_-;_-* "-"??\ _₽_-;_-@_-</c:formatCode>
                <c:ptCount val="13"/>
                <c:pt idx="0">
                  <c:v>-22219410.358838856</c:v>
                </c:pt>
                <c:pt idx="1">
                  <c:v>-34490399.344667464</c:v>
                </c:pt>
                <c:pt idx="2">
                  <c:v>-23501395.286186632</c:v>
                </c:pt>
                <c:pt idx="3">
                  <c:v>-832864.95071027824</c:v>
                </c:pt>
                <c:pt idx="4">
                  <c:v>-670121.2247094193</c:v>
                </c:pt>
                <c:pt idx="5">
                  <c:v>-538490.26985578344</c:v>
                </c:pt>
                <c:pt idx="6">
                  <c:v>-432121.82148920902</c:v>
                </c:pt>
                <c:pt idx="7">
                  <c:v>-368915.19142289727</c:v>
                </c:pt>
                <c:pt idx="8">
                  <c:v>-277001.16762128781</c:v>
                </c:pt>
                <c:pt idx="9">
                  <c:v>-787809.50766029151</c:v>
                </c:pt>
                <c:pt idx="10">
                  <c:v>-176331.76179595862</c:v>
                </c:pt>
                <c:pt idx="11">
                  <c:v>-140263.90142860351</c:v>
                </c:pt>
                <c:pt idx="12">
                  <c:v>-111320.55668936786</c:v>
                </c:pt>
              </c:numCache>
            </c:numRef>
          </c:val>
          <c:smooth val="0"/>
          <c:extLst>
            <c:ext xmlns:c16="http://schemas.microsoft.com/office/drawing/2014/chart" uri="{C3380CC4-5D6E-409C-BE32-E72D297353CC}">
              <c16:uniqueId val="{00000000-1FBF-496F-BA77-484B13687C90}"/>
            </c:ext>
          </c:extLst>
        </c:ser>
        <c:ser>
          <c:idx val="1"/>
          <c:order val="1"/>
          <c:tx>
            <c:strRef>
              <c:f>'5 анализ эк эфф'!$A$87</c:f>
              <c:strCache>
                <c:ptCount val="1"/>
                <c:pt idx="0">
                  <c:v>NPV (без учета продажи)</c:v>
                </c:pt>
              </c:strCache>
            </c:strRef>
          </c:tx>
          <c:marker>
            <c:symbol val="none"/>
          </c:marker>
          <c:val>
            <c:numRef>
              <c:f>'5 анализ эк эфф'!$B$87:$N$87</c:f>
              <c:numCache>
                <c:formatCode>_-* #\ ##0\ _₽_-;\-* #\ ##0\ _₽_-;_-* "-"??\ _₽_-;_-@_-</c:formatCode>
                <c:ptCount val="13"/>
                <c:pt idx="0">
                  <c:v>-22219410.358838856</c:v>
                </c:pt>
                <c:pt idx="1">
                  <c:v>-56709809.703506321</c:v>
                </c:pt>
                <c:pt idx="2">
                  <c:v>-80211204.989692956</c:v>
                </c:pt>
                <c:pt idx="3">
                  <c:v>-81044069.940403238</c:v>
                </c:pt>
                <c:pt idx="4">
                  <c:v>-81714191.165112659</c:v>
                </c:pt>
                <c:pt idx="5">
                  <c:v>-82252681.434968442</c:v>
                </c:pt>
                <c:pt idx="6">
                  <c:v>-82684803.256457657</c:v>
                </c:pt>
                <c:pt idx="7">
                  <c:v>-83053718.447880551</c:v>
                </c:pt>
                <c:pt idx="8">
                  <c:v>-83330719.615501836</c:v>
                </c:pt>
                <c:pt idx="9">
                  <c:v>-84118529.123162121</c:v>
                </c:pt>
                <c:pt idx="10">
                  <c:v>-84294860.884958073</c:v>
                </c:pt>
                <c:pt idx="11">
                  <c:v>-84435124.786386684</c:v>
                </c:pt>
                <c:pt idx="12">
                  <c:v>-84546445.34307605</c:v>
                </c:pt>
              </c:numCache>
            </c:numRef>
          </c:val>
          <c:smooth val="0"/>
          <c:extLst>
            <c:ext xmlns:c16="http://schemas.microsoft.com/office/drawing/2014/chart" uri="{C3380CC4-5D6E-409C-BE32-E72D297353CC}">
              <c16:uniqueId val="{00000002-1FBF-496F-BA77-484B13687C90}"/>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27152352404535385"/>
          <c:h val="7.008632849465244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0</xdr:rowOff>
    </xdr:from>
    <xdr:to>
      <xdr:col>8</xdr:col>
      <xdr:colOff>167005</xdr:colOff>
      <xdr:row>44</xdr:row>
      <xdr:rowOff>116205</xdr:rowOff>
    </xdr:to>
    <xdr:graphicFrame macro="">
      <xdr:nvGraphicFramePr>
        <xdr:cNvPr id="2" name="Диаграмма 1">
          <a:extLst>
            <a:ext uri="{FF2B5EF4-FFF2-40B4-BE49-F238E27FC236}">
              <a16:creationId xmlns:a16="http://schemas.microsoft.com/office/drawing/2014/main" id="{DCD1B6B0-D506-4A3A-BDF3-4B7DD64402C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5_&#1082;&#1072;&#1088;&#1090;&#1099;_&#1058;&#1055;-1.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tabSelected="1" view="pageBreakPreview"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295" t="s">
        <v>606</v>
      </c>
      <c r="B5" s="295"/>
      <c r="C5" s="295"/>
      <c r="D5" s="86"/>
      <c r="E5" s="86"/>
      <c r="F5" s="86"/>
      <c r="G5" s="86"/>
      <c r="H5" s="86"/>
      <c r="I5" s="86"/>
      <c r="J5" s="86"/>
    </row>
    <row r="6" spans="1:22" s="8" customFormat="1" ht="18.75" x14ac:dyDescent="0.3">
      <c r="A6" s="13"/>
      <c r="H6" s="12"/>
    </row>
    <row r="7" spans="1:22" s="8" customFormat="1" ht="18.75" x14ac:dyDescent="0.2">
      <c r="A7" s="299" t="s">
        <v>7</v>
      </c>
      <c r="B7" s="299"/>
      <c r="C7" s="299"/>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02" t="s">
        <v>547</v>
      </c>
      <c r="B9" s="302"/>
      <c r="C9" s="302"/>
      <c r="D9" s="7"/>
      <c r="E9" s="7"/>
      <c r="F9" s="7"/>
      <c r="G9" s="7"/>
      <c r="H9" s="7"/>
      <c r="I9" s="10"/>
      <c r="J9" s="10"/>
      <c r="K9" s="10"/>
      <c r="L9" s="10"/>
      <c r="M9" s="10"/>
      <c r="N9" s="10"/>
      <c r="O9" s="10"/>
      <c r="P9" s="10"/>
      <c r="Q9" s="10"/>
      <c r="R9" s="10"/>
      <c r="S9" s="10"/>
      <c r="T9" s="10"/>
      <c r="U9" s="10"/>
      <c r="V9" s="10"/>
    </row>
    <row r="10" spans="1:22" s="8" customFormat="1" ht="18.75" x14ac:dyDescent="0.2">
      <c r="A10" s="296" t="s">
        <v>6</v>
      </c>
      <c r="B10" s="296"/>
      <c r="C10" s="296"/>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00" t="s">
        <v>585</v>
      </c>
      <c r="B12" s="300"/>
      <c r="C12" s="300"/>
      <c r="D12" s="7"/>
      <c r="E12" s="7"/>
      <c r="F12" s="7"/>
      <c r="G12" s="7"/>
      <c r="H12" s="7"/>
      <c r="I12" s="10"/>
      <c r="J12" s="10"/>
      <c r="K12" s="10"/>
      <c r="L12" s="10"/>
      <c r="M12" s="10"/>
      <c r="N12" s="10"/>
      <c r="O12" s="10"/>
      <c r="P12" s="10"/>
      <c r="Q12" s="10"/>
      <c r="R12" s="10"/>
      <c r="S12" s="10"/>
      <c r="T12" s="10"/>
      <c r="U12" s="10"/>
      <c r="V12" s="10"/>
    </row>
    <row r="13" spans="1:22" s="8" customFormat="1" ht="18.75" x14ac:dyDescent="0.2">
      <c r="A13" s="296" t="s">
        <v>5</v>
      </c>
      <c r="B13" s="296"/>
      <c r="C13" s="296"/>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55.5" customHeight="1" x14ac:dyDescent="0.2">
      <c r="A15" s="301" t="s">
        <v>633</v>
      </c>
      <c r="B15" s="301"/>
      <c r="C15" s="301"/>
      <c r="D15" s="7"/>
      <c r="E15" s="7"/>
      <c r="F15" s="7"/>
      <c r="G15" s="7"/>
      <c r="H15" s="7"/>
      <c r="I15" s="7"/>
      <c r="J15" s="7"/>
      <c r="K15" s="7"/>
      <c r="L15" s="7"/>
      <c r="M15" s="7"/>
      <c r="N15" s="7"/>
      <c r="O15" s="7"/>
      <c r="P15" s="7"/>
      <c r="Q15" s="7"/>
      <c r="R15" s="7"/>
      <c r="S15" s="7"/>
      <c r="T15" s="7"/>
      <c r="U15" s="7"/>
      <c r="V15" s="7"/>
    </row>
    <row r="16" spans="1:22" s="3" customFormat="1" ht="15" customHeight="1" x14ac:dyDescent="0.2">
      <c r="A16" s="296" t="s">
        <v>4</v>
      </c>
      <c r="B16" s="296"/>
      <c r="C16" s="296"/>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7" t="s">
        <v>407</v>
      </c>
      <c r="B18" s="298"/>
      <c r="C18" s="298"/>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289</v>
      </c>
      <c r="C22" s="189" t="s">
        <v>576</v>
      </c>
      <c r="D22" s="5"/>
      <c r="E22" s="5"/>
      <c r="F22" s="5"/>
      <c r="G22" s="5"/>
      <c r="H22" s="5"/>
      <c r="I22" s="4"/>
      <c r="J22" s="4"/>
      <c r="K22" s="4"/>
      <c r="L22" s="4"/>
      <c r="M22" s="4"/>
      <c r="N22" s="4"/>
      <c r="O22" s="4"/>
      <c r="P22" s="4"/>
      <c r="Q22" s="4"/>
      <c r="R22" s="4"/>
      <c r="S22" s="4"/>
    </row>
    <row r="23" spans="1:22" s="3" customFormat="1" ht="47.25" x14ac:dyDescent="0.2">
      <c r="A23" s="15" t="s">
        <v>61</v>
      </c>
      <c r="B23" s="18" t="s">
        <v>533</v>
      </c>
      <c r="C23" s="189" t="s">
        <v>577</v>
      </c>
      <c r="D23" s="5"/>
      <c r="E23" s="5"/>
      <c r="F23" s="5"/>
      <c r="G23" s="5"/>
      <c r="H23" s="5"/>
      <c r="I23" s="4"/>
      <c r="J23" s="4"/>
      <c r="K23" s="4"/>
      <c r="L23" s="4"/>
      <c r="M23" s="4"/>
      <c r="N23" s="4"/>
      <c r="O23" s="4"/>
      <c r="P23" s="4"/>
      <c r="Q23" s="4"/>
      <c r="R23" s="4"/>
      <c r="S23" s="4"/>
    </row>
    <row r="24" spans="1:22" s="3" customFormat="1" ht="22.5" customHeight="1" x14ac:dyDescent="0.2">
      <c r="A24" s="292"/>
      <c r="B24" s="293"/>
      <c r="C24" s="294"/>
      <c r="D24" s="5"/>
      <c r="E24" s="5"/>
      <c r="F24" s="5"/>
      <c r="G24" s="5"/>
      <c r="H24" s="5"/>
      <c r="I24" s="4"/>
      <c r="J24" s="4"/>
      <c r="K24" s="4"/>
      <c r="L24" s="4"/>
      <c r="M24" s="4"/>
      <c r="N24" s="4"/>
      <c r="O24" s="4"/>
      <c r="P24" s="4"/>
      <c r="Q24" s="4"/>
      <c r="R24" s="4"/>
      <c r="S24" s="4"/>
    </row>
    <row r="25" spans="1:22" s="3" customFormat="1" ht="58.5" customHeight="1" x14ac:dyDescent="0.2">
      <c r="A25" s="15" t="s">
        <v>60</v>
      </c>
      <c r="B25" s="22" t="s">
        <v>356</v>
      </c>
      <c r="C25" s="16" t="s">
        <v>557</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558</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559</v>
      </c>
      <c r="D27" s="5"/>
      <c r="E27" s="5"/>
      <c r="F27" s="5"/>
      <c r="G27" s="5"/>
      <c r="H27" s="4"/>
      <c r="I27" s="4"/>
      <c r="J27" s="4"/>
      <c r="K27" s="4"/>
      <c r="L27" s="4"/>
      <c r="M27" s="4"/>
      <c r="N27" s="4"/>
      <c r="O27" s="4"/>
      <c r="P27" s="4"/>
      <c r="Q27" s="4"/>
      <c r="R27" s="4"/>
    </row>
    <row r="28" spans="1:22" s="3" customFormat="1" ht="42.75" customHeight="1" x14ac:dyDescent="0.2">
      <c r="A28" s="15" t="s">
        <v>56</v>
      </c>
      <c r="B28" s="22" t="s">
        <v>357</v>
      </c>
      <c r="C28" s="16" t="s">
        <v>434</v>
      </c>
      <c r="D28" s="5"/>
      <c r="E28" s="5"/>
      <c r="F28" s="5"/>
      <c r="G28" s="5"/>
      <c r="H28" s="4"/>
      <c r="I28" s="4"/>
      <c r="J28" s="4"/>
      <c r="K28" s="4"/>
      <c r="L28" s="4"/>
      <c r="M28" s="4"/>
      <c r="N28" s="4"/>
      <c r="O28" s="4"/>
      <c r="P28" s="4"/>
      <c r="Q28" s="4"/>
      <c r="R28" s="4"/>
    </row>
    <row r="29" spans="1:22" s="3" customFormat="1" ht="51.75" customHeight="1" x14ac:dyDescent="0.2">
      <c r="A29" s="15" t="s">
        <v>54</v>
      </c>
      <c r="B29" s="22" t="s">
        <v>358</v>
      </c>
      <c r="C29" s="16" t="s">
        <v>434</v>
      </c>
      <c r="D29" s="5"/>
      <c r="E29" s="5"/>
      <c r="F29" s="5"/>
      <c r="G29" s="5"/>
      <c r="H29" s="4"/>
      <c r="I29" s="4"/>
      <c r="J29" s="4"/>
      <c r="K29" s="4"/>
      <c r="L29" s="4"/>
      <c r="M29" s="4"/>
      <c r="N29" s="4"/>
      <c r="O29" s="4"/>
      <c r="P29" s="4"/>
      <c r="Q29" s="4"/>
      <c r="R29" s="4"/>
    </row>
    <row r="30" spans="1:22" s="3" customFormat="1" ht="51.75" customHeight="1" x14ac:dyDescent="0.2">
      <c r="A30" s="15" t="s">
        <v>52</v>
      </c>
      <c r="B30" s="22" t="s">
        <v>359</v>
      </c>
      <c r="C30" s="16" t="s">
        <v>434</v>
      </c>
      <c r="D30" s="5"/>
      <c r="E30" s="5"/>
      <c r="F30" s="5"/>
      <c r="G30" s="5"/>
      <c r="H30" s="4"/>
      <c r="I30" s="4"/>
      <c r="J30" s="4"/>
      <c r="K30" s="4"/>
      <c r="L30" s="4"/>
      <c r="M30" s="4"/>
      <c r="N30" s="4"/>
      <c r="O30" s="4"/>
      <c r="P30" s="4"/>
      <c r="Q30" s="4"/>
      <c r="R30" s="4"/>
    </row>
    <row r="31" spans="1:22" s="3" customFormat="1" ht="51.75" customHeight="1" x14ac:dyDescent="0.2">
      <c r="A31" s="15" t="s">
        <v>70</v>
      </c>
      <c r="B31" s="22" t="s">
        <v>360</v>
      </c>
      <c r="C31" s="16" t="s">
        <v>560</v>
      </c>
      <c r="D31" s="5"/>
      <c r="E31" s="5"/>
      <c r="F31" s="5"/>
      <c r="G31" s="5"/>
      <c r="H31" s="4"/>
      <c r="I31" s="4"/>
      <c r="J31" s="4"/>
      <c r="K31" s="4"/>
      <c r="L31" s="4"/>
      <c r="M31" s="4"/>
      <c r="N31" s="4"/>
      <c r="O31" s="4"/>
      <c r="P31" s="4"/>
      <c r="Q31" s="4"/>
      <c r="R31" s="4"/>
    </row>
    <row r="32" spans="1:22" s="3" customFormat="1" ht="51.75" customHeight="1" x14ac:dyDescent="0.2">
      <c r="A32" s="15" t="s">
        <v>68</v>
      </c>
      <c r="B32" s="22" t="s">
        <v>361</v>
      </c>
      <c r="C32" s="16" t="s">
        <v>561</v>
      </c>
      <c r="D32" s="5"/>
      <c r="E32" s="5"/>
      <c r="F32" s="5"/>
      <c r="G32" s="5"/>
      <c r="H32" s="4"/>
      <c r="I32" s="4"/>
      <c r="J32" s="4"/>
      <c r="K32" s="4"/>
      <c r="L32" s="4"/>
      <c r="M32" s="4"/>
      <c r="N32" s="4"/>
      <c r="O32" s="4"/>
      <c r="P32" s="4"/>
      <c r="Q32" s="4"/>
      <c r="R32" s="4"/>
    </row>
    <row r="33" spans="1:18" s="3" customFormat="1" ht="101.25" customHeight="1" x14ac:dyDescent="0.2">
      <c r="A33" s="15" t="s">
        <v>67</v>
      </c>
      <c r="B33" s="22" t="s">
        <v>362</v>
      </c>
      <c r="C33" s="22" t="s">
        <v>562</v>
      </c>
      <c r="D33" s="5"/>
      <c r="E33" s="5"/>
      <c r="F33" s="5"/>
      <c r="G33" s="5"/>
      <c r="H33" s="4"/>
      <c r="I33" s="4"/>
      <c r="J33" s="4"/>
      <c r="K33" s="4"/>
      <c r="L33" s="4"/>
      <c r="M33" s="4"/>
      <c r="N33" s="4"/>
      <c r="O33" s="4"/>
      <c r="P33" s="4"/>
      <c r="Q33" s="4"/>
      <c r="R33" s="4"/>
    </row>
    <row r="34" spans="1:18" ht="111" customHeight="1" x14ac:dyDescent="0.25">
      <c r="A34" s="15" t="s">
        <v>376</v>
      </c>
      <c r="B34" s="22" t="s">
        <v>363</v>
      </c>
      <c r="C34" s="16"/>
    </row>
    <row r="35" spans="1:18" ht="58.5" customHeight="1" x14ac:dyDescent="0.25">
      <c r="A35" s="15" t="s">
        <v>366</v>
      </c>
      <c r="B35" s="22" t="s">
        <v>69</v>
      </c>
      <c r="C35" s="16" t="s">
        <v>434</v>
      </c>
    </row>
    <row r="36" spans="1:18" ht="51.75" customHeight="1" x14ac:dyDescent="0.25">
      <c r="A36" s="15" t="s">
        <v>377</v>
      </c>
      <c r="B36" s="22" t="s">
        <v>364</v>
      </c>
      <c r="C36" s="16" t="s">
        <v>563</v>
      </c>
    </row>
    <row r="37" spans="1:18" ht="43.5" customHeight="1" x14ac:dyDescent="0.25">
      <c r="A37" s="15" t="s">
        <v>367</v>
      </c>
      <c r="B37" s="22" t="s">
        <v>365</v>
      </c>
      <c r="C37" s="16" t="s">
        <v>544</v>
      </c>
    </row>
    <row r="38" spans="1:18" ht="43.5" customHeight="1" x14ac:dyDescent="0.25">
      <c r="A38" s="15" t="s">
        <v>378</v>
      </c>
      <c r="B38" s="22" t="s">
        <v>209</v>
      </c>
      <c r="C38" s="16" t="s">
        <v>563</v>
      </c>
    </row>
    <row r="39" spans="1:18" ht="23.25" customHeight="1" x14ac:dyDescent="0.25">
      <c r="A39" s="292"/>
      <c r="B39" s="293"/>
      <c r="C39" s="294"/>
    </row>
    <row r="40" spans="1:18" ht="63" x14ac:dyDescent="0.25">
      <c r="A40" s="15" t="s">
        <v>368</v>
      </c>
      <c r="B40" s="22" t="s">
        <v>419</v>
      </c>
      <c r="C40" s="16" t="s">
        <v>578</v>
      </c>
    </row>
    <row r="41" spans="1:18" ht="169.5" customHeight="1" x14ac:dyDescent="0.25">
      <c r="A41" s="15" t="s">
        <v>379</v>
      </c>
      <c r="B41" s="22" t="s">
        <v>402</v>
      </c>
      <c r="C41" s="125" t="s">
        <v>537</v>
      </c>
    </row>
    <row r="42" spans="1:18" ht="162.75" customHeight="1" x14ac:dyDescent="0.25">
      <c r="A42" s="15" t="s">
        <v>369</v>
      </c>
      <c r="B42" s="22" t="s">
        <v>416</v>
      </c>
      <c r="C42" s="22" t="s">
        <v>537</v>
      </c>
    </row>
    <row r="43" spans="1:18" ht="186" customHeight="1" x14ac:dyDescent="0.25">
      <c r="A43" s="15" t="s">
        <v>382</v>
      </c>
      <c r="B43" s="22" t="s">
        <v>383</v>
      </c>
      <c r="C43" s="89" t="s">
        <v>541</v>
      </c>
    </row>
    <row r="44" spans="1:18" ht="111" customHeight="1" x14ac:dyDescent="0.25">
      <c r="A44" s="15" t="s">
        <v>370</v>
      </c>
      <c r="B44" s="22" t="s">
        <v>408</v>
      </c>
      <c r="C44" s="2" t="s">
        <v>544</v>
      </c>
    </row>
    <row r="45" spans="1:18" ht="120" customHeight="1" x14ac:dyDescent="0.25">
      <c r="A45" s="15" t="s">
        <v>403</v>
      </c>
      <c r="B45" s="22" t="s">
        <v>409</v>
      </c>
      <c r="C45" s="96" t="s">
        <v>537</v>
      </c>
    </row>
    <row r="46" spans="1:18" ht="101.25" customHeight="1" x14ac:dyDescent="0.25">
      <c r="A46" s="15" t="s">
        <v>371</v>
      </c>
      <c r="B46" s="22" t="s">
        <v>410</v>
      </c>
      <c r="C46" s="96" t="s">
        <v>436</v>
      </c>
    </row>
    <row r="47" spans="1:18" ht="18.75" customHeight="1" x14ac:dyDescent="0.25">
      <c r="A47" s="292"/>
      <c r="B47" s="293"/>
      <c r="C47" s="294"/>
    </row>
    <row r="48" spans="1:18" ht="75.75" hidden="1" customHeight="1" x14ac:dyDescent="0.25">
      <c r="A48" s="15" t="s">
        <v>404</v>
      </c>
      <c r="B48" s="22" t="s">
        <v>417</v>
      </c>
      <c r="C48" s="170" t="str">
        <f>CONCATENATE(ROUND('6.2. Паспорт фин осв ввод факт'!AB24,2)," млн.руб.")</f>
        <v>294,53 млн.руб.</v>
      </c>
      <c r="D48" s="1" t="s">
        <v>539</v>
      </c>
    </row>
    <row r="49" spans="1:4" ht="71.25" hidden="1" customHeight="1" x14ac:dyDescent="0.25">
      <c r="A49" s="15" t="s">
        <v>372</v>
      </c>
      <c r="B49" s="22" t="s">
        <v>418</v>
      </c>
      <c r="C49" s="170" t="str">
        <f>CONCATENATE(ROUND('6.2. Паспорт фин осв ввод факт'!AB30,2)," млн.руб.")</f>
        <v>249,6 млн.руб.</v>
      </c>
      <c r="D49" s="1" t="s">
        <v>539</v>
      </c>
    </row>
    <row r="50" spans="1:4" ht="75.75" customHeight="1" x14ac:dyDescent="0.25">
      <c r="A50" s="15" t="s">
        <v>404</v>
      </c>
      <c r="B50" s="22" t="s">
        <v>417</v>
      </c>
      <c r="C50" s="170" t="str">
        <f>CONCATENATE(ROUND('6.2. Паспорт фин осв ввод'!C24,2)," млн.руб.")</f>
        <v>88,96 млн.руб.</v>
      </c>
      <c r="D50" s="1" t="s">
        <v>540</v>
      </c>
    </row>
    <row r="51" spans="1:4" ht="71.25" customHeight="1" x14ac:dyDescent="0.25">
      <c r="A51" s="15" t="s">
        <v>372</v>
      </c>
      <c r="B51" s="22" t="s">
        <v>418</v>
      </c>
      <c r="C51" s="170" t="str">
        <f>CONCATENATE(ROUND('6.2. Паспорт фин осв ввод'!C30,2)," млн.руб.")</f>
        <v>74,13 млн.руб.</v>
      </c>
      <c r="D51" s="1" t="s">
        <v>540</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8" t="str">
        <f>'1. паспорт местоположение'!A5:C5</f>
        <v>Год раскрытия информации: 2024 год</v>
      </c>
      <c r="B4" s="368"/>
      <c r="C4" s="368"/>
      <c r="D4" s="368"/>
      <c r="E4" s="368"/>
      <c r="F4" s="368"/>
      <c r="G4" s="368"/>
      <c r="H4" s="368"/>
      <c r="I4" s="368"/>
      <c r="J4" s="368"/>
      <c r="K4" s="368"/>
      <c r="L4" s="368"/>
      <c r="M4" s="368"/>
      <c r="N4" s="368"/>
      <c r="O4" s="368"/>
      <c r="P4" s="368"/>
      <c r="Q4" s="368"/>
      <c r="R4" s="368"/>
      <c r="S4" s="368"/>
      <c r="T4" s="368"/>
      <c r="U4" s="368"/>
      <c r="V4" s="368"/>
      <c r="W4" s="368"/>
      <c r="X4" s="368"/>
      <c r="Y4" s="368"/>
      <c r="Z4" s="368"/>
      <c r="AA4" s="368"/>
      <c r="AB4" s="368"/>
      <c r="AC4" s="368"/>
    </row>
    <row r="5" spans="1:29" ht="18.75" x14ac:dyDescent="0.3">
      <c r="AC5" s="12"/>
    </row>
    <row r="6" spans="1:29" ht="18.75" x14ac:dyDescent="0.25">
      <c r="A6" s="299" t="s">
        <v>7</v>
      </c>
      <c r="B6" s="299"/>
      <c r="C6" s="299"/>
      <c r="D6" s="299"/>
      <c r="E6" s="299"/>
      <c r="F6" s="299"/>
      <c r="G6" s="299"/>
      <c r="H6" s="299"/>
      <c r="I6" s="299"/>
      <c r="J6" s="299"/>
      <c r="K6" s="299"/>
      <c r="L6" s="299"/>
      <c r="M6" s="299"/>
      <c r="N6" s="299"/>
      <c r="O6" s="299"/>
      <c r="P6" s="299"/>
      <c r="Q6" s="299"/>
      <c r="R6" s="299"/>
      <c r="S6" s="299"/>
      <c r="T6" s="299"/>
      <c r="U6" s="299"/>
      <c r="V6" s="299"/>
      <c r="W6" s="299"/>
      <c r="X6" s="299"/>
      <c r="Y6" s="299"/>
      <c r="Z6" s="299"/>
      <c r="AA6" s="299"/>
      <c r="AB6" s="299"/>
      <c r="AC6" s="299"/>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69" t="str">
        <f>'1. паспорт местоположение'!A9:C9</f>
        <v xml:space="preserve">Акционерное общество "Западная энергетическая компания" </v>
      </c>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row>
    <row r="9" spans="1:29" ht="18.75" customHeight="1" x14ac:dyDescent="0.25">
      <c r="A9" s="296" t="s">
        <v>6</v>
      </c>
      <c r="B9" s="296"/>
      <c r="C9" s="296"/>
      <c r="D9" s="296"/>
      <c r="E9" s="296"/>
      <c r="F9" s="296"/>
      <c r="G9" s="296"/>
      <c r="H9" s="296"/>
      <c r="I9" s="296"/>
      <c r="J9" s="296"/>
      <c r="K9" s="296"/>
      <c r="L9" s="296"/>
      <c r="M9" s="296"/>
      <c r="N9" s="296"/>
      <c r="O9" s="296"/>
      <c r="P9" s="296"/>
      <c r="Q9" s="296"/>
      <c r="R9" s="296"/>
      <c r="S9" s="296"/>
      <c r="T9" s="296"/>
      <c r="U9" s="296"/>
      <c r="V9" s="296"/>
      <c r="W9" s="296"/>
      <c r="X9" s="296"/>
      <c r="Y9" s="296"/>
      <c r="Z9" s="296"/>
      <c r="AA9" s="296"/>
      <c r="AB9" s="296"/>
      <c r="AC9" s="296"/>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69" t="str">
        <f>'1. паспорт местоположение'!A12:C12</f>
        <v>J_19-05</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row>
    <row r="12" spans="1:29" x14ac:dyDescent="0.25">
      <c r="A12" s="296" t="s">
        <v>5</v>
      </c>
      <c r="B12" s="296"/>
      <c r="C12" s="296"/>
      <c r="D12" s="296"/>
      <c r="E12" s="296"/>
      <c r="F12" s="296"/>
      <c r="G12" s="296"/>
      <c r="H12" s="296"/>
      <c r="I12" s="296"/>
      <c r="J12" s="296"/>
      <c r="K12" s="296"/>
      <c r="L12" s="296"/>
      <c r="M12" s="296"/>
      <c r="N12" s="296"/>
      <c r="O12" s="296"/>
      <c r="P12" s="296"/>
      <c r="Q12" s="296"/>
      <c r="R12" s="296"/>
      <c r="S12" s="296"/>
      <c r="T12" s="296"/>
      <c r="U12" s="296"/>
      <c r="V12" s="296"/>
      <c r="W12" s="296"/>
      <c r="X12" s="296"/>
      <c r="Y12" s="296"/>
      <c r="Z12" s="296"/>
      <c r="AA12" s="296"/>
      <c r="AB12" s="296"/>
      <c r="AC12" s="296"/>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70"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4" s="370"/>
      <c r="C14" s="370"/>
      <c r="D14" s="370"/>
      <c r="E14" s="370"/>
      <c r="F14" s="370"/>
      <c r="G14" s="370"/>
      <c r="H14" s="370"/>
      <c r="I14" s="370"/>
      <c r="J14" s="370"/>
      <c r="K14" s="370"/>
      <c r="L14" s="370"/>
      <c r="M14" s="370"/>
      <c r="N14" s="370"/>
      <c r="O14" s="370"/>
      <c r="P14" s="370"/>
      <c r="Q14" s="370"/>
      <c r="R14" s="370"/>
      <c r="S14" s="370"/>
      <c r="T14" s="370"/>
      <c r="U14" s="370"/>
      <c r="V14" s="370"/>
      <c r="W14" s="370"/>
      <c r="X14" s="370"/>
      <c r="Y14" s="370"/>
      <c r="Z14" s="370"/>
      <c r="AA14" s="370"/>
      <c r="AB14" s="370"/>
      <c r="AC14" s="370"/>
    </row>
    <row r="15" spans="1:29" ht="15.75" customHeight="1" x14ac:dyDescent="0.25">
      <c r="A15" s="296" t="s">
        <v>4</v>
      </c>
      <c r="B15" s="296"/>
      <c r="C15" s="296"/>
      <c r="D15" s="296"/>
      <c r="E15" s="296"/>
      <c r="F15" s="296"/>
      <c r="G15" s="296"/>
      <c r="H15" s="296"/>
      <c r="I15" s="296"/>
      <c r="J15" s="296"/>
      <c r="K15" s="296"/>
      <c r="L15" s="296"/>
      <c r="M15" s="296"/>
      <c r="N15" s="296"/>
      <c r="O15" s="296"/>
      <c r="P15" s="296"/>
      <c r="Q15" s="296"/>
      <c r="R15" s="296"/>
      <c r="S15" s="296"/>
      <c r="T15" s="296"/>
      <c r="U15" s="296"/>
      <c r="V15" s="296"/>
      <c r="W15" s="296"/>
      <c r="X15" s="296"/>
      <c r="Y15" s="296"/>
      <c r="Z15" s="296"/>
      <c r="AA15" s="296"/>
      <c r="AB15" s="296"/>
      <c r="AC15" s="296"/>
    </row>
    <row r="16" spans="1:29"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row>
    <row r="18" spans="1:32" x14ac:dyDescent="0.25">
      <c r="A18" s="373" t="s">
        <v>392</v>
      </c>
      <c r="B18" s="373"/>
      <c r="C18" s="373"/>
      <c r="D18" s="373"/>
      <c r="E18" s="373"/>
      <c r="F18" s="373"/>
      <c r="G18" s="373"/>
      <c r="H18" s="373"/>
      <c r="I18" s="373"/>
      <c r="J18" s="373"/>
      <c r="K18" s="373"/>
      <c r="L18" s="373"/>
      <c r="M18" s="373"/>
      <c r="N18" s="373"/>
      <c r="O18" s="373"/>
      <c r="P18" s="373"/>
      <c r="Q18" s="373"/>
      <c r="R18" s="373"/>
      <c r="S18" s="373"/>
      <c r="T18" s="373"/>
      <c r="U18" s="373"/>
      <c r="V18" s="373"/>
      <c r="W18" s="373"/>
      <c r="X18" s="373"/>
      <c r="Y18" s="373"/>
      <c r="Z18" s="373"/>
      <c r="AA18" s="373"/>
      <c r="AB18" s="373"/>
      <c r="AC18" s="373"/>
    </row>
    <row r="20" spans="1:32" ht="33" customHeight="1" x14ac:dyDescent="0.25">
      <c r="A20" s="362" t="s">
        <v>183</v>
      </c>
      <c r="B20" s="362" t="s">
        <v>182</v>
      </c>
      <c r="C20" s="358" t="s">
        <v>181</v>
      </c>
      <c r="D20" s="358"/>
      <c r="E20" s="372" t="s">
        <v>180</v>
      </c>
      <c r="F20" s="372"/>
      <c r="G20" s="362" t="s">
        <v>422</v>
      </c>
      <c r="H20" s="365" t="s">
        <v>423</v>
      </c>
      <c r="I20" s="366"/>
      <c r="J20" s="366"/>
      <c r="K20" s="366"/>
      <c r="L20" s="365" t="s">
        <v>424</v>
      </c>
      <c r="M20" s="366"/>
      <c r="N20" s="366"/>
      <c r="O20" s="366"/>
      <c r="P20" s="365" t="s">
        <v>425</v>
      </c>
      <c r="Q20" s="366"/>
      <c r="R20" s="366"/>
      <c r="S20" s="366"/>
      <c r="T20" s="365" t="s">
        <v>438</v>
      </c>
      <c r="U20" s="366"/>
      <c r="V20" s="366"/>
      <c r="W20" s="366"/>
      <c r="X20" s="365" t="s">
        <v>439</v>
      </c>
      <c r="Y20" s="366"/>
      <c r="Z20" s="366"/>
      <c r="AA20" s="366"/>
      <c r="AB20" s="374" t="s">
        <v>179</v>
      </c>
      <c r="AC20" s="374"/>
      <c r="AD20" s="49"/>
      <c r="AE20" s="49"/>
      <c r="AF20" s="49"/>
    </row>
    <row r="21" spans="1:32" ht="99.75" customHeight="1" x14ac:dyDescent="0.25">
      <c r="A21" s="363"/>
      <c r="B21" s="363"/>
      <c r="C21" s="358"/>
      <c r="D21" s="358"/>
      <c r="E21" s="372"/>
      <c r="F21" s="372"/>
      <c r="G21" s="363"/>
      <c r="H21" s="358" t="s">
        <v>2</v>
      </c>
      <c r="I21" s="358"/>
      <c r="J21" s="358" t="s">
        <v>9</v>
      </c>
      <c r="K21" s="358"/>
      <c r="L21" s="358" t="s">
        <v>2</v>
      </c>
      <c r="M21" s="358"/>
      <c r="N21" s="358" t="s">
        <v>9</v>
      </c>
      <c r="O21" s="358"/>
      <c r="P21" s="358" t="s">
        <v>2</v>
      </c>
      <c r="Q21" s="358"/>
      <c r="R21" s="358" t="s">
        <v>178</v>
      </c>
      <c r="S21" s="358"/>
      <c r="T21" s="358" t="s">
        <v>2</v>
      </c>
      <c r="U21" s="358"/>
      <c r="V21" s="358" t="s">
        <v>178</v>
      </c>
      <c r="W21" s="358"/>
      <c r="X21" s="358" t="s">
        <v>2</v>
      </c>
      <c r="Y21" s="358"/>
      <c r="Z21" s="358" t="s">
        <v>178</v>
      </c>
      <c r="AA21" s="358"/>
      <c r="AB21" s="374"/>
      <c r="AC21" s="374"/>
    </row>
    <row r="22" spans="1:32" ht="89.25" customHeight="1" x14ac:dyDescent="0.25">
      <c r="A22" s="364"/>
      <c r="B22" s="364"/>
      <c r="C22" s="46" t="s">
        <v>2</v>
      </c>
      <c r="D22" s="46" t="s">
        <v>178</v>
      </c>
      <c r="E22" s="48" t="s">
        <v>437</v>
      </c>
      <c r="F22" s="48" t="s">
        <v>482</v>
      </c>
      <c r="G22" s="364"/>
      <c r="H22" s="47" t="s">
        <v>373</v>
      </c>
      <c r="I22" s="47" t="s">
        <v>374</v>
      </c>
      <c r="J22" s="47" t="s">
        <v>373</v>
      </c>
      <c r="K22" s="47" t="s">
        <v>374</v>
      </c>
      <c r="L22" s="47" t="s">
        <v>373</v>
      </c>
      <c r="M22" s="47" t="s">
        <v>374</v>
      </c>
      <c r="N22" s="47" t="s">
        <v>373</v>
      </c>
      <c r="O22" s="47" t="s">
        <v>374</v>
      </c>
      <c r="P22" s="47" t="s">
        <v>373</v>
      </c>
      <c r="Q22" s="47" t="s">
        <v>374</v>
      </c>
      <c r="R22" s="47" t="s">
        <v>373</v>
      </c>
      <c r="S22" s="47" t="s">
        <v>374</v>
      </c>
      <c r="T22" s="47" t="s">
        <v>373</v>
      </c>
      <c r="U22" s="47" t="s">
        <v>374</v>
      </c>
      <c r="V22" s="47" t="s">
        <v>373</v>
      </c>
      <c r="W22" s="47" t="s">
        <v>374</v>
      </c>
      <c r="X22" s="47" t="s">
        <v>373</v>
      </c>
      <c r="Y22" s="47" t="s">
        <v>374</v>
      </c>
      <c r="Z22" s="47" t="s">
        <v>373</v>
      </c>
      <c r="AA22" s="47" t="s">
        <v>374</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7">
        <f>SUM(C25:C29)</f>
        <v>294.53059319620257</v>
      </c>
      <c r="D24" s="97">
        <v>0</v>
      </c>
      <c r="E24" s="97">
        <f>SUM(E25:E29)</f>
        <v>294.53059319620257</v>
      </c>
      <c r="F24" s="97">
        <f>SUM(F25:F29)</f>
        <v>293.97652119620255</v>
      </c>
      <c r="G24" s="97">
        <f t="shared" ref="G24" si="1">SUM(G25:G29)</f>
        <v>0</v>
      </c>
      <c r="H24" s="97">
        <f t="shared" ref="H24:M24" si="2">SUM(H25:H29)</f>
        <v>0.55407200000000001</v>
      </c>
      <c r="I24" s="97">
        <f t="shared" si="2"/>
        <v>0</v>
      </c>
      <c r="J24" s="97">
        <f t="shared" si="2"/>
        <v>0.55407200000000001</v>
      </c>
      <c r="K24" s="97">
        <f t="shared" si="2"/>
        <v>0</v>
      </c>
      <c r="L24" s="97">
        <f t="shared" si="2"/>
        <v>160.58748429999991</v>
      </c>
      <c r="M24" s="97">
        <f t="shared" si="2"/>
        <v>128.46998823999991</v>
      </c>
      <c r="N24" s="97">
        <f t="shared" ref="N24" si="3">SUM(N25:N29)</f>
        <v>134.10904273</v>
      </c>
      <c r="O24" s="97">
        <f t="shared" ref="O24:AA24" si="4">SUM(O25:O29)</f>
        <v>101.99154667000002</v>
      </c>
      <c r="P24" s="97">
        <f t="shared" si="4"/>
        <v>133.38903689620324</v>
      </c>
      <c r="Q24" s="97">
        <f t="shared" si="4"/>
        <v>0</v>
      </c>
      <c r="R24" s="97">
        <f t="shared" si="4"/>
        <v>0</v>
      </c>
      <c r="S24" s="97">
        <f t="shared" si="4"/>
        <v>0</v>
      </c>
      <c r="T24" s="97">
        <f t="shared" si="4"/>
        <v>0</v>
      </c>
      <c r="U24" s="97">
        <f t="shared" si="4"/>
        <v>0</v>
      </c>
      <c r="V24" s="97">
        <f t="shared" si="4"/>
        <v>0</v>
      </c>
      <c r="W24" s="97">
        <f t="shared" si="4"/>
        <v>0</v>
      </c>
      <c r="X24" s="97">
        <f t="shared" si="4"/>
        <v>0</v>
      </c>
      <c r="Y24" s="97">
        <f t="shared" si="4"/>
        <v>0</v>
      </c>
      <c r="Z24" s="97">
        <f t="shared" si="4"/>
        <v>0</v>
      </c>
      <c r="AA24" s="97">
        <f t="shared" si="4"/>
        <v>0</v>
      </c>
      <c r="AB24" s="101">
        <f t="shared" ref="AB24:AB64" si="5">SUM(H24,L24,P24,T24,X24)</f>
        <v>294.53059319620314</v>
      </c>
      <c r="AC24" s="101">
        <f>J24+N24+R24+V24+Z24</f>
        <v>134.66311472999999</v>
      </c>
    </row>
    <row r="25" spans="1:32" ht="24" customHeight="1" x14ac:dyDescent="0.25">
      <c r="A25" s="41" t="s">
        <v>176</v>
      </c>
      <c r="B25" s="25" t="s">
        <v>175</v>
      </c>
      <c r="C25" s="97">
        <v>0</v>
      </c>
      <c r="D25" s="97">
        <v>0</v>
      </c>
      <c r="E25" s="97">
        <f>C25</f>
        <v>0</v>
      </c>
      <c r="F25" s="97">
        <f>E25-G25-H25</f>
        <v>0</v>
      </c>
      <c r="G25" s="99">
        <v>0</v>
      </c>
      <c r="H25" s="99">
        <v>0</v>
      </c>
      <c r="I25" s="99">
        <v>0</v>
      </c>
      <c r="J25" s="99">
        <v>0</v>
      </c>
      <c r="K25" s="99">
        <v>0</v>
      </c>
      <c r="L25" s="99">
        <f>F25</f>
        <v>0</v>
      </c>
      <c r="M25" s="99">
        <v>0</v>
      </c>
      <c r="N25" s="99">
        <f t="shared" ref="N25:N27" si="6">F25</f>
        <v>0</v>
      </c>
      <c r="O25" s="99">
        <v>0</v>
      </c>
      <c r="P25" s="99">
        <v>0</v>
      </c>
      <c r="Q25" s="99">
        <v>0</v>
      </c>
      <c r="R25" s="99">
        <v>0</v>
      </c>
      <c r="S25" s="99">
        <v>0</v>
      </c>
      <c r="T25" s="99">
        <v>0</v>
      </c>
      <c r="U25" s="99">
        <v>0</v>
      </c>
      <c r="V25" s="99">
        <v>0</v>
      </c>
      <c r="W25" s="99">
        <v>0</v>
      </c>
      <c r="X25" s="99">
        <v>0</v>
      </c>
      <c r="Y25" s="99">
        <v>0</v>
      </c>
      <c r="Z25" s="99">
        <v>0</v>
      </c>
      <c r="AA25" s="99">
        <v>0</v>
      </c>
      <c r="AB25" s="101">
        <f t="shared" si="5"/>
        <v>0</v>
      </c>
      <c r="AC25" s="101">
        <f t="shared" ref="AC25:AC64" si="7">J25+N25+R25+V25+Z25</f>
        <v>0</v>
      </c>
    </row>
    <row r="26" spans="1:32" x14ac:dyDescent="0.25">
      <c r="A26" s="41" t="s">
        <v>174</v>
      </c>
      <c r="B26" s="25" t="s">
        <v>173</v>
      </c>
      <c r="C26" s="97">
        <v>0</v>
      </c>
      <c r="D26" s="97">
        <v>0</v>
      </c>
      <c r="E26" s="97">
        <f>C26</f>
        <v>0</v>
      </c>
      <c r="F26" s="97">
        <f>E26-G26-H26</f>
        <v>0</v>
      </c>
      <c r="G26" s="99">
        <v>0</v>
      </c>
      <c r="H26" s="99">
        <v>0</v>
      </c>
      <c r="I26" s="99">
        <v>0</v>
      </c>
      <c r="J26" s="99">
        <v>0</v>
      </c>
      <c r="K26" s="99">
        <v>0</v>
      </c>
      <c r="L26" s="99">
        <f>F26</f>
        <v>0</v>
      </c>
      <c r="M26" s="99">
        <v>0</v>
      </c>
      <c r="N26" s="99">
        <f t="shared" si="6"/>
        <v>0</v>
      </c>
      <c r="O26" s="99">
        <v>0</v>
      </c>
      <c r="P26" s="99">
        <v>0</v>
      </c>
      <c r="Q26" s="99">
        <v>0</v>
      </c>
      <c r="R26" s="99">
        <v>0</v>
      </c>
      <c r="S26" s="99">
        <v>0</v>
      </c>
      <c r="T26" s="99">
        <v>0</v>
      </c>
      <c r="U26" s="99">
        <v>0</v>
      </c>
      <c r="V26" s="99">
        <v>0</v>
      </c>
      <c r="W26" s="99">
        <v>0</v>
      </c>
      <c r="X26" s="99">
        <v>0</v>
      </c>
      <c r="Y26" s="99">
        <v>0</v>
      </c>
      <c r="Z26" s="99">
        <v>0</v>
      </c>
      <c r="AA26" s="99">
        <v>0</v>
      </c>
      <c r="AB26" s="101">
        <f t="shared" si="5"/>
        <v>0</v>
      </c>
      <c r="AC26" s="101">
        <f t="shared" si="7"/>
        <v>0</v>
      </c>
    </row>
    <row r="27" spans="1:32" ht="31.5" x14ac:dyDescent="0.25">
      <c r="A27" s="41" t="s">
        <v>172</v>
      </c>
      <c r="B27" s="25" t="s">
        <v>355</v>
      </c>
      <c r="C27" s="97">
        <v>0</v>
      </c>
      <c r="D27" s="97">
        <v>0</v>
      </c>
      <c r="E27" s="97">
        <f>C27</f>
        <v>0</v>
      </c>
      <c r="F27" s="97">
        <f>E27-G27-H27</f>
        <v>0</v>
      </c>
      <c r="G27" s="99">
        <v>0</v>
      </c>
      <c r="H27" s="99">
        <v>0</v>
      </c>
      <c r="I27" s="99">
        <v>0</v>
      </c>
      <c r="J27" s="99">
        <v>0</v>
      </c>
      <c r="K27" s="99">
        <v>0</v>
      </c>
      <c r="L27" s="99">
        <f>F27</f>
        <v>0</v>
      </c>
      <c r="M27" s="99">
        <v>0</v>
      </c>
      <c r="N27" s="99">
        <f t="shared" si="6"/>
        <v>0</v>
      </c>
      <c r="O27" s="99">
        <v>0</v>
      </c>
      <c r="P27" s="99">
        <v>0</v>
      </c>
      <c r="Q27" s="99">
        <v>0</v>
      </c>
      <c r="R27" s="99">
        <v>0</v>
      </c>
      <c r="S27" s="99">
        <v>0</v>
      </c>
      <c r="T27" s="99">
        <v>0</v>
      </c>
      <c r="U27" s="99">
        <v>0</v>
      </c>
      <c r="V27" s="99">
        <v>0</v>
      </c>
      <c r="W27" s="99">
        <v>0</v>
      </c>
      <c r="X27" s="99">
        <v>0</v>
      </c>
      <c r="Y27" s="99">
        <v>0</v>
      </c>
      <c r="Z27" s="99">
        <v>0</v>
      </c>
      <c r="AA27" s="99">
        <v>0</v>
      </c>
      <c r="AB27" s="101">
        <f t="shared" si="5"/>
        <v>0</v>
      </c>
      <c r="AC27" s="101">
        <f t="shared" si="7"/>
        <v>0</v>
      </c>
      <c r="AF27" s="98"/>
    </row>
    <row r="28" spans="1:32" x14ac:dyDescent="0.25">
      <c r="A28" s="41" t="s">
        <v>171</v>
      </c>
      <c r="B28" s="25" t="s">
        <v>170</v>
      </c>
      <c r="C28" s="97">
        <f>C30*1.18</f>
        <v>294.53059319620257</v>
      </c>
      <c r="D28" s="97">
        <v>0</v>
      </c>
      <c r="E28" s="97">
        <f>C28</f>
        <v>294.53059319620257</v>
      </c>
      <c r="F28" s="97">
        <f>E28-G28-H28</f>
        <v>293.97652119620255</v>
      </c>
      <c r="G28" s="99">
        <v>0</v>
      </c>
      <c r="H28" s="99">
        <v>0.55407200000000001</v>
      </c>
      <c r="I28" s="99">
        <v>0</v>
      </c>
      <c r="J28" s="99">
        <v>0.55407200000000001</v>
      </c>
      <c r="K28" s="99">
        <v>0</v>
      </c>
      <c r="L28" s="99">
        <v>160.58748429999991</v>
      </c>
      <c r="M28" s="99">
        <v>128.46998823999991</v>
      </c>
      <c r="N28" s="99">
        <v>134.10904273</v>
      </c>
      <c r="O28" s="99">
        <v>101.99154667000002</v>
      </c>
      <c r="P28" s="99">
        <v>133.38903689620324</v>
      </c>
      <c r="Q28" s="99">
        <v>0</v>
      </c>
      <c r="R28" s="99">
        <v>0</v>
      </c>
      <c r="S28" s="99">
        <v>0</v>
      </c>
      <c r="T28" s="99">
        <v>0</v>
      </c>
      <c r="U28" s="99">
        <v>0</v>
      </c>
      <c r="V28" s="99">
        <v>0</v>
      </c>
      <c r="W28" s="99">
        <v>0</v>
      </c>
      <c r="X28" s="99">
        <v>0</v>
      </c>
      <c r="Y28" s="99">
        <v>0</v>
      </c>
      <c r="Z28" s="99">
        <v>0</v>
      </c>
      <c r="AA28" s="99">
        <v>0</v>
      </c>
      <c r="AB28" s="101">
        <f t="shared" si="5"/>
        <v>294.53059319620314</v>
      </c>
      <c r="AC28" s="101">
        <f t="shared" si="7"/>
        <v>134.66311472999999</v>
      </c>
    </row>
    <row r="29" spans="1:32" x14ac:dyDescent="0.25">
      <c r="A29" s="41" t="s">
        <v>169</v>
      </c>
      <c r="B29" s="45" t="s">
        <v>168</v>
      </c>
      <c r="C29" s="97">
        <v>0</v>
      </c>
      <c r="D29" s="97">
        <v>0</v>
      </c>
      <c r="E29" s="97">
        <f>C29</f>
        <v>0</v>
      </c>
      <c r="F29" s="97">
        <f>E29-G29-H29</f>
        <v>0</v>
      </c>
      <c r="G29" s="99">
        <v>0</v>
      </c>
      <c r="H29" s="99">
        <v>0</v>
      </c>
      <c r="I29" s="99">
        <v>0</v>
      </c>
      <c r="J29" s="99">
        <v>0</v>
      </c>
      <c r="K29" s="99">
        <v>0</v>
      </c>
      <c r="L29" s="99">
        <f>F29</f>
        <v>0</v>
      </c>
      <c r="M29" s="99">
        <v>0</v>
      </c>
      <c r="N29" s="99">
        <v>0</v>
      </c>
      <c r="O29" s="99">
        <v>0</v>
      </c>
      <c r="P29" s="99">
        <v>0</v>
      </c>
      <c r="Q29" s="99">
        <v>0</v>
      </c>
      <c r="R29" s="99">
        <v>0</v>
      </c>
      <c r="S29" s="99">
        <v>0</v>
      </c>
      <c r="T29" s="99">
        <v>0</v>
      </c>
      <c r="U29" s="99">
        <v>0</v>
      </c>
      <c r="V29" s="99">
        <v>0</v>
      </c>
      <c r="W29" s="99">
        <v>0</v>
      </c>
      <c r="X29" s="99">
        <v>0</v>
      </c>
      <c r="Y29" s="99">
        <v>0</v>
      </c>
      <c r="Z29" s="99">
        <v>0</v>
      </c>
      <c r="AA29" s="99">
        <v>0</v>
      </c>
      <c r="AB29" s="101">
        <f t="shared" si="5"/>
        <v>0</v>
      </c>
      <c r="AC29" s="101">
        <f t="shared" si="7"/>
        <v>0</v>
      </c>
      <c r="AF29" s="98"/>
    </row>
    <row r="30" spans="1:32" ht="47.25" x14ac:dyDescent="0.25">
      <c r="A30" s="44" t="s">
        <v>61</v>
      </c>
      <c r="B30" s="43" t="s">
        <v>167</v>
      </c>
      <c r="C30" s="97">
        <f>SUM(C31:C34)</f>
        <v>249.60219762390051</v>
      </c>
      <c r="D30" s="97">
        <v>0</v>
      </c>
      <c r="E30" s="97">
        <f>SUM(E31:E34)</f>
        <v>249.60219762390051</v>
      </c>
      <c r="F30" s="97">
        <f>SUM(F31:F34)</f>
        <v>249.13264508152764</v>
      </c>
      <c r="G30" s="97">
        <f t="shared" ref="G30" si="8">SUM(G31:G34)</f>
        <v>0</v>
      </c>
      <c r="H30" s="97">
        <f>SUM(H31:H34)</f>
        <v>0.46955254237288102</v>
      </c>
      <c r="I30" s="97">
        <f>SUM(I31:I34)</f>
        <v>0</v>
      </c>
      <c r="J30" s="97">
        <f>SUM(J31:J34)</f>
        <v>0.46955254237288102</v>
      </c>
      <c r="K30" s="97">
        <f>SUM(K31:K34)</f>
        <v>0</v>
      </c>
      <c r="L30" s="97">
        <f>145.62859444541</f>
        <v>145.62859444540999</v>
      </c>
      <c r="M30" s="97">
        <v>145.6285944454101</v>
      </c>
      <c r="N30" s="97">
        <v>94.271501650000005</v>
      </c>
      <c r="O30" s="97">
        <v>94.27150164999999</v>
      </c>
      <c r="P30" s="97">
        <v>103.504050636118</v>
      </c>
      <c r="Q30" s="97">
        <f t="shared" ref="Q30:AA30" si="9">SUM(Q31:Q34)</f>
        <v>0</v>
      </c>
      <c r="R30" s="97">
        <f t="shared" si="9"/>
        <v>0</v>
      </c>
      <c r="S30" s="97">
        <f t="shared" si="9"/>
        <v>0</v>
      </c>
      <c r="T30" s="97">
        <f t="shared" si="9"/>
        <v>0</v>
      </c>
      <c r="U30" s="97">
        <f t="shared" si="9"/>
        <v>0</v>
      </c>
      <c r="V30" s="97">
        <f t="shared" si="9"/>
        <v>0</v>
      </c>
      <c r="W30" s="97">
        <f t="shared" si="9"/>
        <v>0</v>
      </c>
      <c r="X30" s="97">
        <f t="shared" si="9"/>
        <v>0</v>
      </c>
      <c r="Y30" s="97">
        <f t="shared" si="9"/>
        <v>0</v>
      </c>
      <c r="Z30" s="97">
        <f t="shared" si="9"/>
        <v>0</v>
      </c>
      <c r="AA30" s="97">
        <f t="shared" si="9"/>
        <v>0</v>
      </c>
      <c r="AB30" s="101">
        <f t="shared" si="5"/>
        <v>249.60219762390085</v>
      </c>
      <c r="AC30" s="101">
        <f t="shared" si="7"/>
        <v>94.741054192372886</v>
      </c>
      <c r="AE30" s="98"/>
    </row>
    <row r="31" spans="1:32" x14ac:dyDescent="0.25">
      <c r="A31" s="44" t="s">
        <v>166</v>
      </c>
      <c r="B31" s="25" t="s">
        <v>165</v>
      </c>
      <c r="C31" s="97">
        <f>4.7144209*1.41456447846*0.7</f>
        <v>4.6681966391545968</v>
      </c>
      <c r="D31" s="97">
        <v>0</v>
      </c>
      <c r="E31" s="97">
        <f>C31</f>
        <v>4.6681966391545968</v>
      </c>
      <c r="F31" s="97">
        <f>E31-G31-H31</f>
        <v>4.6681966391545968</v>
      </c>
      <c r="G31" s="99">
        <v>0</v>
      </c>
      <c r="H31" s="99">
        <v>0</v>
      </c>
      <c r="I31" s="99">
        <v>0</v>
      </c>
      <c r="J31" s="99">
        <v>0</v>
      </c>
      <c r="K31" s="99">
        <v>0</v>
      </c>
      <c r="L31" s="99">
        <f>F31</f>
        <v>4.6681966391545968</v>
      </c>
      <c r="M31" s="99">
        <v>4.6681966391545968</v>
      </c>
      <c r="N31" s="99">
        <v>0</v>
      </c>
      <c r="O31" s="99">
        <v>0</v>
      </c>
      <c r="P31" s="99">
        <v>0</v>
      </c>
      <c r="Q31" s="99">
        <v>0</v>
      </c>
      <c r="R31" s="99">
        <v>0</v>
      </c>
      <c r="S31" s="99">
        <v>0</v>
      </c>
      <c r="T31" s="99">
        <v>0</v>
      </c>
      <c r="U31" s="99">
        <v>0</v>
      </c>
      <c r="V31" s="99">
        <v>0</v>
      </c>
      <c r="W31" s="99">
        <v>0</v>
      </c>
      <c r="X31" s="99">
        <v>0</v>
      </c>
      <c r="Y31" s="99">
        <v>0</v>
      </c>
      <c r="Z31" s="99">
        <v>0</v>
      </c>
      <c r="AA31" s="99">
        <v>0</v>
      </c>
      <c r="AB31" s="101">
        <f t="shared" si="5"/>
        <v>4.6681966391545968</v>
      </c>
      <c r="AC31" s="101">
        <f t="shared" si="7"/>
        <v>0</v>
      </c>
    </row>
    <row r="32" spans="1:32" ht="31.5" x14ac:dyDescent="0.25">
      <c r="A32" s="44" t="s">
        <v>164</v>
      </c>
      <c r="B32" s="25" t="s">
        <v>163</v>
      </c>
      <c r="C32" s="97">
        <f>22.591709*1.41456447846*0.7</f>
        <v>22.370200341373565</v>
      </c>
      <c r="D32" s="97">
        <v>0</v>
      </c>
      <c r="E32" s="97">
        <f>C32</f>
        <v>22.370200341373565</v>
      </c>
      <c r="F32" s="97">
        <f>E32-G32-H32</f>
        <v>22.370200341373565</v>
      </c>
      <c r="G32" s="99">
        <v>0</v>
      </c>
      <c r="H32" s="99">
        <v>0</v>
      </c>
      <c r="I32" s="99">
        <v>0</v>
      </c>
      <c r="J32" s="99">
        <v>0</v>
      </c>
      <c r="K32" s="99">
        <v>0</v>
      </c>
      <c r="L32" s="99">
        <f>F32-P32</f>
        <v>13.076330611391265</v>
      </c>
      <c r="M32" s="99">
        <v>13.076330611391265</v>
      </c>
      <c r="N32" s="99">
        <v>1.979398</v>
      </c>
      <c r="O32" s="99">
        <v>1.979398</v>
      </c>
      <c r="P32" s="99">
        <f>F32*(P30/F30)</f>
        <v>9.2938697299822994</v>
      </c>
      <c r="Q32" s="99">
        <v>0</v>
      </c>
      <c r="R32" s="99">
        <v>0</v>
      </c>
      <c r="S32" s="99">
        <v>0</v>
      </c>
      <c r="T32" s="99">
        <v>0</v>
      </c>
      <c r="U32" s="99">
        <v>0</v>
      </c>
      <c r="V32" s="99">
        <v>0</v>
      </c>
      <c r="W32" s="99">
        <v>0</v>
      </c>
      <c r="X32" s="99">
        <v>0</v>
      </c>
      <c r="Y32" s="99">
        <v>0</v>
      </c>
      <c r="Z32" s="99">
        <v>0</v>
      </c>
      <c r="AA32" s="99">
        <v>0</v>
      </c>
      <c r="AB32" s="101">
        <f t="shared" si="5"/>
        <v>22.370200341373565</v>
      </c>
      <c r="AC32" s="101">
        <f t="shared" si="7"/>
        <v>1.979398</v>
      </c>
    </row>
    <row r="33" spans="1:29" x14ac:dyDescent="0.25">
      <c r="A33" s="44" t="s">
        <v>162</v>
      </c>
      <c r="B33" s="25" t="s">
        <v>161</v>
      </c>
      <c r="C33" s="100">
        <f>210.6058062*1.41456447846*0.7</f>
        <v>208.54084468556556</v>
      </c>
      <c r="D33" s="100">
        <v>0</v>
      </c>
      <c r="E33" s="97">
        <f>C33</f>
        <v>208.54084468556556</v>
      </c>
      <c r="F33" s="97">
        <f>E33-G33-H33</f>
        <v>208.54084468556556</v>
      </c>
      <c r="G33" s="99">
        <v>0</v>
      </c>
      <c r="H33" s="99">
        <v>0</v>
      </c>
      <c r="I33" s="99">
        <v>0</v>
      </c>
      <c r="J33" s="99">
        <v>0</v>
      </c>
      <c r="K33" s="99">
        <v>0</v>
      </c>
      <c r="L33" s="99">
        <f>F33-P33</f>
        <v>121.90096599375441</v>
      </c>
      <c r="M33" s="99">
        <v>121.90096599375441</v>
      </c>
      <c r="N33" s="99">
        <v>91.699434690000004</v>
      </c>
      <c r="O33" s="99">
        <v>91.699434690000004</v>
      </c>
      <c r="P33" s="99">
        <f>F33*(P30/F30)</f>
        <v>86.639878691811148</v>
      </c>
      <c r="Q33" s="99">
        <v>0</v>
      </c>
      <c r="R33" s="99">
        <v>0</v>
      </c>
      <c r="S33" s="99">
        <v>0</v>
      </c>
      <c r="T33" s="99">
        <v>0</v>
      </c>
      <c r="U33" s="99">
        <v>0</v>
      </c>
      <c r="V33" s="99">
        <v>0</v>
      </c>
      <c r="W33" s="99">
        <v>0</v>
      </c>
      <c r="X33" s="99">
        <v>0</v>
      </c>
      <c r="Y33" s="99">
        <v>0</v>
      </c>
      <c r="Z33" s="99">
        <v>0</v>
      </c>
      <c r="AA33" s="99">
        <v>0</v>
      </c>
      <c r="AB33" s="101">
        <f t="shared" si="5"/>
        <v>208.54084468556556</v>
      </c>
      <c r="AC33" s="101">
        <f t="shared" si="7"/>
        <v>91.699434690000004</v>
      </c>
    </row>
    <row r="34" spans="1:29" x14ac:dyDescent="0.25">
      <c r="A34" s="44" t="s">
        <v>160</v>
      </c>
      <c r="B34" s="25" t="s">
        <v>159</v>
      </c>
      <c r="C34" s="97">
        <f>14.1618106*1.41456447846*0.7</f>
        <v>14.022955957806809</v>
      </c>
      <c r="D34" s="97">
        <v>0</v>
      </c>
      <c r="E34" s="97">
        <f>C34</f>
        <v>14.022955957806809</v>
      </c>
      <c r="F34" s="97">
        <f>E34-G34-H34</f>
        <v>13.553403415433928</v>
      </c>
      <c r="G34" s="99">
        <v>0</v>
      </c>
      <c r="H34" s="99">
        <v>0.46955254237288102</v>
      </c>
      <c r="I34" s="99">
        <v>0</v>
      </c>
      <c r="J34" s="99">
        <v>0.46955254237288102</v>
      </c>
      <c r="K34" s="99">
        <v>0</v>
      </c>
      <c r="L34" s="99">
        <f>L30-L31-L32-L33</f>
        <v>5.9831012011097187</v>
      </c>
      <c r="M34" s="99">
        <v>5.9831012011097187</v>
      </c>
      <c r="N34" s="99">
        <v>0.59266895999999991</v>
      </c>
      <c r="O34" s="99">
        <v>0.59266895999999991</v>
      </c>
      <c r="P34" s="99">
        <f>P30-P31-P32-P33</f>
        <v>7.570302214324542</v>
      </c>
      <c r="Q34" s="99">
        <v>0</v>
      </c>
      <c r="R34" s="99">
        <v>0</v>
      </c>
      <c r="S34" s="99">
        <v>0</v>
      </c>
      <c r="T34" s="99">
        <v>0</v>
      </c>
      <c r="U34" s="99">
        <v>0</v>
      </c>
      <c r="V34" s="99">
        <v>0</v>
      </c>
      <c r="W34" s="99">
        <v>0</v>
      </c>
      <c r="X34" s="99">
        <v>0</v>
      </c>
      <c r="Y34" s="99">
        <v>0</v>
      </c>
      <c r="Z34" s="99">
        <v>0</v>
      </c>
      <c r="AA34" s="99">
        <v>0</v>
      </c>
      <c r="AB34" s="101">
        <f t="shared" si="5"/>
        <v>14.022955957807142</v>
      </c>
      <c r="AC34" s="101">
        <f t="shared" si="7"/>
        <v>1.0622215023728809</v>
      </c>
    </row>
    <row r="35" spans="1:29" ht="31.5" x14ac:dyDescent="0.25">
      <c r="A35" s="44" t="s">
        <v>60</v>
      </c>
      <c r="B35" s="43" t="s">
        <v>158</v>
      </c>
      <c r="C35" s="97">
        <v>0</v>
      </c>
      <c r="D35" s="97">
        <v>0</v>
      </c>
      <c r="E35" s="97">
        <v>0</v>
      </c>
      <c r="F35" s="97">
        <v>0</v>
      </c>
      <c r="G35" s="97">
        <v>0</v>
      </c>
      <c r="H35" s="97">
        <v>0</v>
      </c>
      <c r="I35" s="97">
        <v>0</v>
      </c>
      <c r="J35" s="97">
        <v>0</v>
      </c>
      <c r="K35" s="97">
        <v>0</v>
      </c>
      <c r="L35" s="97">
        <v>0</v>
      </c>
      <c r="M35" s="97">
        <v>0</v>
      </c>
      <c r="N35" s="97">
        <v>0</v>
      </c>
      <c r="O35" s="97">
        <v>0</v>
      </c>
      <c r="P35" s="97">
        <v>0</v>
      </c>
      <c r="Q35" s="97">
        <v>0</v>
      </c>
      <c r="R35" s="97">
        <v>0</v>
      </c>
      <c r="S35" s="97">
        <v>0</v>
      </c>
      <c r="T35" s="97">
        <v>0</v>
      </c>
      <c r="U35" s="97">
        <v>0</v>
      </c>
      <c r="V35" s="97">
        <v>0</v>
      </c>
      <c r="W35" s="97">
        <v>0</v>
      </c>
      <c r="X35" s="97">
        <v>0</v>
      </c>
      <c r="Y35" s="97">
        <v>0</v>
      </c>
      <c r="Z35" s="97">
        <v>0</v>
      </c>
      <c r="AA35" s="97">
        <v>0</v>
      </c>
      <c r="AB35" s="101">
        <f t="shared" si="5"/>
        <v>0</v>
      </c>
      <c r="AC35" s="101">
        <f t="shared" si="7"/>
        <v>0</v>
      </c>
    </row>
    <row r="36" spans="1:29" ht="31.5" x14ac:dyDescent="0.25">
      <c r="A36" s="41" t="s">
        <v>157</v>
      </c>
      <c r="B36" s="40" t="s">
        <v>156</v>
      </c>
      <c r="C36" s="97">
        <v>0</v>
      </c>
      <c r="D36" s="97">
        <v>0</v>
      </c>
      <c r="E36" s="97">
        <v>0</v>
      </c>
      <c r="F36" s="97">
        <v>0</v>
      </c>
      <c r="G36" s="99">
        <v>0</v>
      </c>
      <c r="H36" s="99">
        <v>0</v>
      </c>
      <c r="I36" s="99">
        <v>0</v>
      </c>
      <c r="J36" s="99">
        <v>0</v>
      </c>
      <c r="K36" s="99">
        <v>0</v>
      </c>
      <c r="L36" s="99">
        <v>0</v>
      </c>
      <c r="M36" s="99">
        <v>0</v>
      </c>
      <c r="N36" s="99">
        <v>0</v>
      </c>
      <c r="O36" s="99">
        <v>0</v>
      </c>
      <c r="P36" s="99">
        <v>0</v>
      </c>
      <c r="Q36" s="99">
        <v>0</v>
      </c>
      <c r="R36" s="99">
        <v>0</v>
      </c>
      <c r="S36" s="99">
        <v>0</v>
      </c>
      <c r="T36" s="99">
        <v>0</v>
      </c>
      <c r="U36" s="99">
        <v>0</v>
      </c>
      <c r="V36" s="99">
        <v>0</v>
      </c>
      <c r="W36" s="99">
        <v>0</v>
      </c>
      <c r="X36" s="99">
        <v>0</v>
      </c>
      <c r="Y36" s="99">
        <v>0</v>
      </c>
      <c r="Z36" s="99">
        <v>0</v>
      </c>
      <c r="AA36" s="99">
        <v>0</v>
      </c>
      <c r="AB36" s="101">
        <f t="shared" si="5"/>
        <v>0</v>
      </c>
      <c r="AC36" s="101">
        <f t="shared" si="7"/>
        <v>0</v>
      </c>
    </row>
    <row r="37" spans="1:29" x14ac:dyDescent="0.25">
      <c r="A37" s="41" t="s">
        <v>155</v>
      </c>
      <c r="B37" s="40" t="s">
        <v>145</v>
      </c>
      <c r="C37" s="97">
        <v>80</v>
      </c>
      <c r="D37" s="97">
        <v>0</v>
      </c>
      <c r="E37" s="97">
        <f>C37</f>
        <v>80</v>
      </c>
      <c r="F37" s="97">
        <f>E37-G37-H37</f>
        <v>80</v>
      </c>
      <c r="G37" s="99">
        <v>0</v>
      </c>
      <c r="H37" s="99">
        <v>0</v>
      </c>
      <c r="I37" s="99">
        <v>0</v>
      </c>
      <c r="J37" s="99">
        <v>0</v>
      </c>
      <c r="K37" s="99">
        <v>0</v>
      </c>
      <c r="L37" s="99">
        <v>0</v>
      </c>
      <c r="M37" s="99">
        <v>0</v>
      </c>
      <c r="N37" s="99">
        <v>0</v>
      </c>
      <c r="O37" s="99">
        <v>0</v>
      </c>
      <c r="P37" s="99">
        <f t="shared" ref="P37:P42" si="10">F37</f>
        <v>80</v>
      </c>
      <c r="Q37" s="99">
        <v>0</v>
      </c>
      <c r="R37" s="99">
        <v>0</v>
      </c>
      <c r="S37" s="99">
        <v>0</v>
      </c>
      <c r="T37" s="99">
        <v>0</v>
      </c>
      <c r="U37" s="99">
        <v>0</v>
      </c>
      <c r="V37" s="99">
        <v>0</v>
      </c>
      <c r="W37" s="99">
        <v>0</v>
      </c>
      <c r="X37" s="99">
        <v>0</v>
      </c>
      <c r="Y37" s="99">
        <v>0</v>
      </c>
      <c r="Z37" s="99">
        <v>0</v>
      </c>
      <c r="AA37" s="99">
        <v>0</v>
      </c>
      <c r="AB37" s="101">
        <f t="shared" si="5"/>
        <v>80</v>
      </c>
      <c r="AC37" s="101">
        <f t="shared" si="7"/>
        <v>0</v>
      </c>
    </row>
    <row r="38" spans="1:29" x14ac:dyDescent="0.25">
      <c r="A38" s="41" t="s">
        <v>154</v>
      </c>
      <c r="B38" s="40" t="s">
        <v>143</v>
      </c>
      <c r="C38" s="97">
        <v>0</v>
      </c>
      <c r="D38" s="97">
        <v>0</v>
      </c>
      <c r="E38" s="97">
        <v>0</v>
      </c>
      <c r="F38" s="97">
        <v>0</v>
      </c>
      <c r="G38" s="99">
        <v>0</v>
      </c>
      <c r="H38" s="99">
        <v>0</v>
      </c>
      <c r="I38" s="99">
        <v>0</v>
      </c>
      <c r="J38" s="99">
        <v>0</v>
      </c>
      <c r="K38" s="99">
        <v>0</v>
      </c>
      <c r="L38" s="99">
        <v>0</v>
      </c>
      <c r="M38" s="99">
        <v>0</v>
      </c>
      <c r="N38" s="99">
        <v>0</v>
      </c>
      <c r="O38" s="99">
        <v>0</v>
      </c>
      <c r="P38" s="99">
        <f t="shared" si="10"/>
        <v>0</v>
      </c>
      <c r="Q38" s="99">
        <v>0</v>
      </c>
      <c r="R38" s="99">
        <v>0</v>
      </c>
      <c r="S38" s="99">
        <v>0</v>
      </c>
      <c r="T38" s="99">
        <v>0</v>
      </c>
      <c r="U38" s="99">
        <v>0</v>
      </c>
      <c r="V38" s="99">
        <v>0</v>
      </c>
      <c r="W38" s="99">
        <v>0</v>
      </c>
      <c r="X38" s="99">
        <v>0</v>
      </c>
      <c r="Y38" s="99">
        <v>0</v>
      </c>
      <c r="Z38" s="99">
        <v>0</v>
      </c>
      <c r="AA38" s="99">
        <v>0</v>
      </c>
      <c r="AB38" s="101">
        <f t="shared" si="5"/>
        <v>0</v>
      </c>
      <c r="AC38" s="101">
        <f t="shared" si="7"/>
        <v>0</v>
      </c>
    </row>
    <row r="39" spans="1:29" ht="31.5" x14ac:dyDescent="0.25">
      <c r="A39" s="41" t="s">
        <v>153</v>
      </c>
      <c r="B39" s="25" t="s">
        <v>141</v>
      </c>
      <c r="C39" s="97">
        <v>0</v>
      </c>
      <c r="D39" s="97">
        <v>0</v>
      </c>
      <c r="E39" s="97">
        <v>0</v>
      </c>
      <c r="F39" s="97">
        <v>0</v>
      </c>
      <c r="G39" s="99">
        <v>0</v>
      </c>
      <c r="H39" s="99">
        <v>0</v>
      </c>
      <c r="I39" s="99">
        <v>0</v>
      </c>
      <c r="J39" s="99">
        <v>0</v>
      </c>
      <c r="K39" s="99">
        <v>0</v>
      </c>
      <c r="L39" s="99">
        <v>0</v>
      </c>
      <c r="M39" s="99">
        <v>0</v>
      </c>
      <c r="N39" s="99">
        <v>0</v>
      </c>
      <c r="O39" s="99">
        <v>0</v>
      </c>
      <c r="P39" s="99">
        <f t="shared" si="10"/>
        <v>0</v>
      </c>
      <c r="Q39" s="99">
        <v>0</v>
      </c>
      <c r="R39" s="99">
        <v>0</v>
      </c>
      <c r="S39" s="99">
        <v>0</v>
      </c>
      <c r="T39" s="99">
        <v>0</v>
      </c>
      <c r="U39" s="99">
        <v>0</v>
      </c>
      <c r="V39" s="99">
        <v>0</v>
      </c>
      <c r="W39" s="99">
        <v>0</v>
      </c>
      <c r="X39" s="99">
        <v>0</v>
      </c>
      <c r="Y39" s="99">
        <v>0</v>
      </c>
      <c r="Z39" s="99">
        <v>0</v>
      </c>
      <c r="AA39" s="99">
        <v>0</v>
      </c>
      <c r="AB39" s="101">
        <f t="shared" si="5"/>
        <v>0</v>
      </c>
      <c r="AC39" s="101">
        <f t="shared" si="7"/>
        <v>0</v>
      </c>
    </row>
    <row r="40" spans="1:29" ht="31.5" x14ac:dyDescent="0.25">
      <c r="A40" s="41" t="s">
        <v>152</v>
      </c>
      <c r="B40" s="25" t="s">
        <v>139</v>
      </c>
      <c r="C40" s="97">
        <v>0</v>
      </c>
      <c r="D40" s="97">
        <v>0</v>
      </c>
      <c r="E40" s="97">
        <v>0</v>
      </c>
      <c r="F40" s="97">
        <v>0</v>
      </c>
      <c r="G40" s="99">
        <v>0</v>
      </c>
      <c r="H40" s="99">
        <v>0</v>
      </c>
      <c r="I40" s="99">
        <v>0</v>
      </c>
      <c r="J40" s="99">
        <v>0</v>
      </c>
      <c r="K40" s="99">
        <v>0</v>
      </c>
      <c r="L40" s="99">
        <v>0</v>
      </c>
      <c r="M40" s="99">
        <v>0</v>
      </c>
      <c r="N40" s="99">
        <v>0</v>
      </c>
      <c r="O40" s="99">
        <v>0</v>
      </c>
      <c r="P40" s="99">
        <f t="shared" si="10"/>
        <v>0</v>
      </c>
      <c r="Q40" s="99">
        <v>0</v>
      </c>
      <c r="R40" s="99">
        <v>0</v>
      </c>
      <c r="S40" s="99">
        <v>0</v>
      </c>
      <c r="T40" s="99">
        <v>0</v>
      </c>
      <c r="U40" s="99">
        <v>0</v>
      </c>
      <c r="V40" s="99">
        <v>0</v>
      </c>
      <c r="W40" s="99">
        <v>0</v>
      </c>
      <c r="X40" s="99">
        <v>0</v>
      </c>
      <c r="Y40" s="99">
        <v>0</v>
      </c>
      <c r="Z40" s="99">
        <v>0</v>
      </c>
      <c r="AA40" s="99">
        <v>0</v>
      </c>
      <c r="AB40" s="101">
        <f t="shared" si="5"/>
        <v>0</v>
      </c>
      <c r="AC40" s="101">
        <f t="shared" si="7"/>
        <v>0</v>
      </c>
    </row>
    <row r="41" spans="1:29" x14ac:dyDescent="0.25">
      <c r="A41" s="41" t="s">
        <v>151</v>
      </c>
      <c r="B41" s="25" t="s">
        <v>137</v>
      </c>
      <c r="C41" s="97">
        <v>0</v>
      </c>
      <c r="D41" s="97">
        <v>0</v>
      </c>
      <c r="E41" s="97">
        <v>0</v>
      </c>
      <c r="F41" s="97">
        <v>0</v>
      </c>
      <c r="G41" s="99">
        <v>0</v>
      </c>
      <c r="H41" s="99">
        <v>0</v>
      </c>
      <c r="I41" s="99">
        <v>0</v>
      </c>
      <c r="J41" s="99">
        <v>0</v>
      </c>
      <c r="K41" s="99">
        <v>0</v>
      </c>
      <c r="L41" s="99">
        <v>0</v>
      </c>
      <c r="M41" s="99">
        <v>0</v>
      </c>
      <c r="N41" s="99">
        <v>0</v>
      </c>
      <c r="O41" s="99">
        <v>0</v>
      </c>
      <c r="P41" s="99">
        <f t="shared" si="10"/>
        <v>0</v>
      </c>
      <c r="Q41" s="99">
        <v>0</v>
      </c>
      <c r="R41" s="99">
        <v>0</v>
      </c>
      <c r="S41" s="99">
        <v>0</v>
      </c>
      <c r="T41" s="99">
        <v>0</v>
      </c>
      <c r="U41" s="99">
        <v>0</v>
      </c>
      <c r="V41" s="99">
        <v>0</v>
      </c>
      <c r="W41" s="99">
        <v>0</v>
      </c>
      <c r="X41" s="99">
        <v>0</v>
      </c>
      <c r="Y41" s="99">
        <v>0</v>
      </c>
      <c r="Z41" s="99">
        <v>0</v>
      </c>
      <c r="AA41" s="99">
        <v>0</v>
      </c>
      <c r="AB41" s="101">
        <f t="shared" si="5"/>
        <v>0</v>
      </c>
      <c r="AC41" s="101">
        <f t="shared" si="7"/>
        <v>0</v>
      </c>
    </row>
    <row r="42" spans="1:29" ht="18.75" x14ac:dyDescent="0.25">
      <c r="A42" s="41" t="s">
        <v>150</v>
      </c>
      <c r="B42" s="40" t="s">
        <v>529</v>
      </c>
      <c r="C42" s="97">
        <v>34</v>
      </c>
      <c r="D42" s="97">
        <v>0</v>
      </c>
      <c r="E42" s="97">
        <v>34</v>
      </c>
      <c r="F42" s="97">
        <v>34</v>
      </c>
      <c r="G42" s="99">
        <v>0</v>
      </c>
      <c r="H42" s="99">
        <v>0</v>
      </c>
      <c r="I42" s="99">
        <v>0</v>
      </c>
      <c r="J42" s="99">
        <v>0</v>
      </c>
      <c r="K42" s="99">
        <v>0</v>
      </c>
      <c r="L42" s="99">
        <v>0</v>
      </c>
      <c r="M42" s="99">
        <v>0</v>
      </c>
      <c r="N42" s="99">
        <v>0</v>
      </c>
      <c r="O42" s="99">
        <v>0</v>
      </c>
      <c r="P42" s="99">
        <f t="shared" si="10"/>
        <v>34</v>
      </c>
      <c r="Q42" s="99">
        <v>0</v>
      </c>
      <c r="R42" s="99">
        <v>0</v>
      </c>
      <c r="S42" s="99">
        <v>0</v>
      </c>
      <c r="T42" s="99">
        <v>0</v>
      </c>
      <c r="U42" s="99">
        <v>0</v>
      </c>
      <c r="V42" s="99">
        <v>0</v>
      </c>
      <c r="W42" s="99">
        <v>0</v>
      </c>
      <c r="X42" s="99">
        <v>0</v>
      </c>
      <c r="Y42" s="99">
        <v>0</v>
      </c>
      <c r="Z42" s="99">
        <v>0</v>
      </c>
      <c r="AA42" s="99">
        <v>0</v>
      </c>
      <c r="AB42" s="101">
        <f t="shared" si="5"/>
        <v>34</v>
      </c>
      <c r="AC42" s="101">
        <f t="shared" si="7"/>
        <v>0</v>
      </c>
    </row>
    <row r="43" spans="1:29" x14ac:dyDescent="0.25">
      <c r="A43" s="44" t="s">
        <v>59</v>
      </c>
      <c r="B43" s="43" t="s">
        <v>149</v>
      </c>
      <c r="C43" s="97">
        <v>0</v>
      </c>
      <c r="D43" s="97">
        <v>0</v>
      </c>
      <c r="E43" s="97">
        <v>0</v>
      </c>
      <c r="F43" s="97">
        <v>0</v>
      </c>
      <c r="G43" s="97">
        <v>0</v>
      </c>
      <c r="H43" s="97">
        <v>0</v>
      </c>
      <c r="I43" s="97">
        <v>0</v>
      </c>
      <c r="J43" s="97">
        <v>0</v>
      </c>
      <c r="K43" s="97">
        <v>0</v>
      </c>
      <c r="L43" s="97">
        <v>0</v>
      </c>
      <c r="M43" s="97">
        <v>0</v>
      </c>
      <c r="N43" s="97">
        <v>0</v>
      </c>
      <c r="O43" s="97">
        <v>0</v>
      </c>
      <c r="P43" s="97">
        <v>0</v>
      </c>
      <c r="Q43" s="97">
        <v>0</v>
      </c>
      <c r="R43" s="97">
        <v>0</v>
      </c>
      <c r="S43" s="97">
        <v>0</v>
      </c>
      <c r="T43" s="97">
        <v>0</v>
      </c>
      <c r="U43" s="97">
        <v>0</v>
      </c>
      <c r="V43" s="97">
        <v>0</v>
      </c>
      <c r="W43" s="97">
        <v>0</v>
      </c>
      <c r="X43" s="97">
        <v>0</v>
      </c>
      <c r="Y43" s="97">
        <v>0</v>
      </c>
      <c r="Z43" s="97">
        <v>0</v>
      </c>
      <c r="AA43" s="97">
        <v>0</v>
      </c>
      <c r="AB43" s="101">
        <f t="shared" si="5"/>
        <v>0</v>
      </c>
      <c r="AC43" s="101">
        <f t="shared" si="7"/>
        <v>0</v>
      </c>
    </row>
    <row r="44" spans="1:29" x14ac:dyDescent="0.25">
      <c r="A44" s="41" t="s">
        <v>148</v>
      </c>
      <c r="B44" s="25" t="s">
        <v>147</v>
      </c>
      <c r="C44" s="97">
        <v>0</v>
      </c>
      <c r="D44" s="97">
        <v>0</v>
      </c>
      <c r="E44" s="97">
        <v>0</v>
      </c>
      <c r="F44" s="97">
        <v>0</v>
      </c>
      <c r="G44" s="99">
        <v>0</v>
      </c>
      <c r="H44" s="99">
        <v>0</v>
      </c>
      <c r="I44" s="99">
        <v>0</v>
      </c>
      <c r="J44" s="99">
        <v>0</v>
      </c>
      <c r="K44" s="99">
        <v>0</v>
      </c>
      <c r="L44" s="99">
        <v>0</v>
      </c>
      <c r="M44" s="99">
        <v>0</v>
      </c>
      <c r="N44" s="99">
        <v>0</v>
      </c>
      <c r="O44" s="99">
        <v>0</v>
      </c>
      <c r="P44" s="99">
        <f t="shared" ref="P44:P50" si="11">F44</f>
        <v>0</v>
      </c>
      <c r="Q44" s="99">
        <v>0</v>
      </c>
      <c r="R44" s="99">
        <v>0</v>
      </c>
      <c r="S44" s="99">
        <v>0</v>
      </c>
      <c r="T44" s="99">
        <v>0</v>
      </c>
      <c r="U44" s="99">
        <v>0</v>
      </c>
      <c r="V44" s="99">
        <v>0</v>
      </c>
      <c r="W44" s="99">
        <v>0</v>
      </c>
      <c r="X44" s="99">
        <v>0</v>
      </c>
      <c r="Y44" s="99">
        <v>0</v>
      </c>
      <c r="Z44" s="99">
        <v>0</v>
      </c>
      <c r="AA44" s="99">
        <v>0</v>
      </c>
      <c r="AB44" s="101">
        <f t="shared" si="5"/>
        <v>0</v>
      </c>
      <c r="AC44" s="101">
        <f t="shared" si="7"/>
        <v>0</v>
      </c>
    </row>
    <row r="45" spans="1:29" x14ac:dyDescent="0.25">
      <c r="A45" s="41" t="s">
        <v>146</v>
      </c>
      <c r="B45" s="25" t="s">
        <v>145</v>
      </c>
      <c r="C45" s="97">
        <f>C37</f>
        <v>80</v>
      </c>
      <c r="D45" s="97">
        <v>0</v>
      </c>
      <c r="E45" s="97">
        <f>C45</f>
        <v>80</v>
      </c>
      <c r="F45" s="97">
        <f>E45-G45-H45</f>
        <v>80</v>
      </c>
      <c r="G45" s="99">
        <v>0</v>
      </c>
      <c r="H45" s="99">
        <v>0</v>
      </c>
      <c r="I45" s="99">
        <v>0</v>
      </c>
      <c r="J45" s="99">
        <v>0</v>
      </c>
      <c r="K45" s="99">
        <v>0</v>
      </c>
      <c r="L45" s="99">
        <v>0</v>
      </c>
      <c r="M45" s="99">
        <v>0</v>
      </c>
      <c r="N45" s="99">
        <v>0</v>
      </c>
      <c r="O45" s="99">
        <v>0</v>
      </c>
      <c r="P45" s="99">
        <f t="shared" si="11"/>
        <v>80</v>
      </c>
      <c r="Q45" s="99">
        <v>0</v>
      </c>
      <c r="R45" s="99">
        <v>0</v>
      </c>
      <c r="S45" s="99">
        <v>0</v>
      </c>
      <c r="T45" s="99">
        <v>0</v>
      </c>
      <c r="U45" s="99">
        <v>0</v>
      </c>
      <c r="V45" s="99">
        <v>0</v>
      </c>
      <c r="W45" s="99">
        <v>0</v>
      </c>
      <c r="X45" s="99">
        <v>0</v>
      </c>
      <c r="Y45" s="99">
        <v>0</v>
      </c>
      <c r="Z45" s="99">
        <v>0</v>
      </c>
      <c r="AA45" s="99">
        <v>0</v>
      </c>
      <c r="AB45" s="101">
        <f t="shared" si="5"/>
        <v>80</v>
      </c>
      <c r="AC45" s="101">
        <f t="shared" si="7"/>
        <v>0</v>
      </c>
    </row>
    <row r="46" spans="1:29" x14ac:dyDescent="0.25">
      <c r="A46" s="41" t="s">
        <v>144</v>
      </c>
      <c r="B46" s="25" t="s">
        <v>143</v>
      </c>
      <c r="C46" s="97">
        <v>0</v>
      </c>
      <c r="D46" s="97">
        <v>0</v>
      </c>
      <c r="E46" s="97">
        <v>0</v>
      </c>
      <c r="F46" s="97">
        <v>0</v>
      </c>
      <c r="G46" s="99">
        <v>0</v>
      </c>
      <c r="H46" s="99">
        <v>0</v>
      </c>
      <c r="I46" s="99">
        <v>0</v>
      </c>
      <c r="J46" s="99">
        <v>0</v>
      </c>
      <c r="K46" s="99">
        <v>0</v>
      </c>
      <c r="L46" s="99">
        <v>0</v>
      </c>
      <c r="M46" s="99">
        <v>0</v>
      </c>
      <c r="N46" s="99">
        <v>0</v>
      </c>
      <c r="O46" s="99">
        <v>0</v>
      </c>
      <c r="P46" s="99">
        <f t="shared" si="11"/>
        <v>0</v>
      </c>
      <c r="Q46" s="99">
        <v>0</v>
      </c>
      <c r="R46" s="99">
        <v>0</v>
      </c>
      <c r="S46" s="99">
        <v>0</v>
      </c>
      <c r="T46" s="99">
        <v>0</v>
      </c>
      <c r="U46" s="99">
        <v>0</v>
      </c>
      <c r="V46" s="99">
        <v>0</v>
      </c>
      <c r="W46" s="99">
        <v>0</v>
      </c>
      <c r="X46" s="99">
        <v>0</v>
      </c>
      <c r="Y46" s="99">
        <v>0</v>
      </c>
      <c r="Z46" s="99">
        <v>0</v>
      </c>
      <c r="AA46" s="99">
        <v>0</v>
      </c>
      <c r="AB46" s="101">
        <f t="shared" si="5"/>
        <v>0</v>
      </c>
      <c r="AC46" s="101">
        <f t="shared" si="7"/>
        <v>0</v>
      </c>
    </row>
    <row r="47" spans="1:29" ht="31.5" x14ac:dyDescent="0.25">
      <c r="A47" s="41" t="s">
        <v>142</v>
      </c>
      <c r="B47" s="25" t="s">
        <v>141</v>
      </c>
      <c r="C47" s="97">
        <v>0</v>
      </c>
      <c r="D47" s="97">
        <v>0</v>
      </c>
      <c r="E47" s="97">
        <v>0</v>
      </c>
      <c r="F47" s="97">
        <v>0</v>
      </c>
      <c r="G47" s="99">
        <v>0</v>
      </c>
      <c r="H47" s="99">
        <v>0</v>
      </c>
      <c r="I47" s="99">
        <v>0</v>
      </c>
      <c r="J47" s="99">
        <v>0</v>
      </c>
      <c r="K47" s="99">
        <v>0</v>
      </c>
      <c r="L47" s="99">
        <v>0</v>
      </c>
      <c r="M47" s="99">
        <v>0</v>
      </c>
      <c r="N47" s="99">
        <v>0</v>
      </c>
      <c r="O47" s="99">
        <v>0</v>
      </c>
      <c r="P47" s="99">
        <f t="shared" si="11"/>
        <v>0</v>
      </c>
      <c r="Q47" s="99">
        <v>0</v>
      </c>
      <c r="R47" s="99">
        <v>0</v>
      </c>
      <c r="S47" s="99">
        <v>0</v>
      </c>
      <c r="T47" s="99">
        <v>0</v>
      </c>
      <c r="U47" s="99">
        <v>0</v>
      </c>
      <c r="V47" s="99">
        <v>0</v>
      </c>
      <c r="W47" s="99">
        <v>0</v>
      </c>
      <c r="X47" s="99">
        <v>0</v>
      </c>
      <c r="Y47" s="99">
        <v>0</v>
      </c>
      <c r="Z47" s="99">
        <v>0</v>
      </c>
      <c r="AA47" s="99">
        <v>0</v>
      </c>
      <c r="AB47" s="101">
        <f t="shared" si="5"/>
        <v>0</v>
      </c>
      <c r="AC47" s="101">
        <f t="shared" si="7"/>
        <v>0</v>
      </c>
    </row>
    <row r="48" spans="1:29" ht="31.5" x14ac:dyDescent="0.25">
      <c r="A48" s="41" t="s">
        <v>140</v>
      </c>
      <c r="B48" s="25" t="s">
        <v>139</v>
      </c>
      <c r="C48" s="97">
        <v>0</v>
      </c>
      <c r="D48" s="97">
        <v>0</v>
      </c>
      <c r="E48" s="97">
        <v>0</v>
      </c>
      <c r="F48" s="97">
        <v>0</v>
      </c>
      <c r="G48" s="99">
        <v>0</v>
      </c>
      <c r="H48" s="99">
        <v>0</v>
      </c>
      <c r="I48" s="99">
        <v>0</v>
      </c>
      <c r="J48" s="99">
        <v>0</v>
      </c>
      <c r="K48" s="99">
        <v>0</v>
      </c>
      <c r="L48" s="99">
        <v>0</v>
      </c>
      <c r="M48" s="99">
        <v>0</v>
      </c>
      <c r="N48" s="99">
        <v>0</v>
      </c>
      <c r="O48" s="99">
        <v>0</v>
      </c>
      <c r="P48" s="99">
        <f t="shared" si="11"/>
        <v>0</v>
      </c>
      <c r="Q48" s="99">
        <v>0</v>
      </c>
      <c r="R48" s="99">
        <v>0</v>
      </c>
      <c r="S48" s="99">
        <v>0</v>
      </c>
      <c r="T48" s="99">
        <v>0</v>
      </c>
      <c r="U48" s="99">
        <v>0</v>
      </c>
      <c r="V48" s="99">
        <v>0</v>
      </c>
      <c r="W48" s="99">
        <v>0</v>
      </c>
      <c r="X48" s="99">
        <v>0</v>
      </c>
      <c r="Y48" s="99">
        <v>0</v>
      </c>
      <c r="Z48" s="99">
        <v>0</v>
      </c>
      <c r="AA48" s="99">
        <v>0</v>
      </c>
      <c r="AB48" s="101">
        <f t="shared" si="5"/>
        <v>0</v>
      </c>
      <c r="AC48" s="101">
        <f t="shared" si="7"/>
        <v>0</v>
      </c>
    </row>
    <row r="49" spans="1:29" x14ac:dyDescent="0.25">
      <c r="A49" s="41" t="s">
        <v>138</v>
      </c>
      <c r="B49" s="25" t="s">
        <v>137</v>
      </c>
      <c r="C49" s="97">
        <v>0</v>
      </c>
      <c r="D49" s="97">
        <v>0</v>
      </c>
      <c r="E49" s="97">
        <v>0</v>
      </c>
      <c r="F49" s="97">
        <v>0</v>
      </c>
      <c r="G49" s="99">
        <v>0</v>
      </c>
      <c r="H49" s="99">
        <v>0</v>
      </c>
      <c r="I49" s="99">
        <v>0</v>
      </c>
      <c r="J49" s="99">
        <v>0</v>
      </c>
      <c r="K49" s="99">
        <v>0</v>
      </c>
      <c r="L49" s="99">
        <v>0</v>
      </c>
      <c r="M49" s="99">
        <v>0</v>
      </c>
      <c r="N49" s="99">
        <v>0</v>
      </c>
      <c r="O49" s="99">
        <v>0</v>
      </c>
      <c r="P49" s="99">
        <f t="shared" si="11"/>
        <v>0</v>
      </c>
      <c r="Q49" s="99">
        <v>0</v>
      </c>
      <c r="R49" s="99">
        <v>0</v>
      </c>
      <c r="S49" s="99">
        <v>0</v>
      </c>
      <c r="T49" s="99">
        <v>0</v>
      </c>
      <c r="U49" s="99">
        <v>0</v>
      </c>
      <c r="V49" s="99">
        <v>0</v>
      </c>
      <c r="W49" s="99">
        <v>0</v>
      </c>
      <c r="X49" s="99">
        <v>0</v>
      </c>
      <c r="Y49" s="99">
        <v>0</v>
      </c>
      <c r="Z49" s="99">
        <v>0</v>
      </c>
      <c r="AA49" s="99">
        <v>0</v>
      </c>
      <c r="AB49" s="101">
        <f t="shared" si="5"/>
        <v>0</v>
      </c>
      <c r="AC49" s="101">
        <f t="shared" si="7"/>
        <v>0</v>
      </c>
    </row>
    <row r="50" spans="1:29" ht="18.75" x14ac:dyDescent="0.25">
      <c r="A50" s="41" t="s">
        <v>136</v>
      </c>
      <c r="B50" s="40" t="s">
        <v>529</v>
      </c>
      <c r="C50" s="97">
        <v>34</v>
      </c>
      <c r="D50" s="97">
        <v>0</v>
      </c>
      <c r="E50" s="97">
        <v>34</v>
      </c>
      <c r="F50" s="97">
        <v>34</v>
      </c>
      <c r="G50" s="99">
        <v>0</v>
      </c>
      <c r="H50" s="99">
        <v>0</v>
      </c>
      <c r="I50" s="99">
        <v>0</v>
      </c>
      <c r="J50" s="99">
        <v>0</v>
      </c>
      <c r="K50" s="99">
        <v>0</v>
      </c>
      <c r="L50" s="99">
        <v>0</v>
      </c>
      <c r="M50" s="99">
        <v>0</v>
      </c>
      <c r="N50" s="99">
        <v>0</v>
      </c>
      <c r="O50" s="99">
        <v>0</v>
      </c>
      <c r="P50" s="99">
        <f t="shared" si="11"/>
        <v>34</v>
      </c>
      <c r="Q50" s="99">
        <v>0</v>
      </c>
      <c r="R50" s="99">
        <v>0</v>
      </c>
      <c r="S50" s="99">
        <v>0</v>
      </c>
      <c r="T50" s="99">
        <v>0</v>
      </c>
      <c r="U50" s="99">
        <v>0</v>
      </c>
      <c r="V50" s="99">
        <v>0</v>
      </c>
      <c r="W50" s="99">
        <v>0</v>
      </c>
      <c r="X50" s="99">
        <v>0</v>
      </c>
      <c r="Y50" s="99">
        <v>0</v>
      </c>
      <c r="Z50" s="99">
        <v>0</v>
      </c>
      <c r="AA50" s="99">
        <v>0</v>
      </c>
      <c r="AB50" s="101">
        <f t="shared" si="5"/>
        <v>34</v>
      </c>
      <c r="AC50" s="101">
        <f t="shared" si="7"/>
        <v>0</v>
      </c>
    </row>
    <row r="51" spans="1:29" ht="35.25" customHeight="1" x14ac:dyDescent="0.25">
      <c r="A51" s="44" t="s">
        <v>57</v>
      </c>
      <c r="B51" s="43" t="s">
        <v>135</v>
      </c>
      <c r="C51" s="97">
        <v>0</v>
      </c>
      <c r="D51" s="97">
        <v>0</v>
      </c>
      <c r="E51" s="97">
        <v>0</v>
      </c>
      <c r="F51" s="97">
        <v>0</v>
      </c>
      <c r="G51" s="97">
        <v>0</v>
      </c>
      <c r="H51" s="97">
        <v>0</v>
      </c>
      <c r="I51" s="97">
        <v>0</v>
      </c>
      <c r="J51" s="97">
        <v>0</v>
      </c>
      <c r="K51" s="97">
        <v>0</v>
      </c>
      <c r="L51" s="97">
        <v>0</v>
      </c>
      <c r="M51" s="97">
        <v>0</v>
      </c>
      <c r="N51" s="97">
        <v>0</v>
      </c>
      <c r="O51" s="97">
        <v>0</v>
      </c>
      <c r="P51" s="97">
        <v>0</v>
      </c>
      <c r="Q51" s="97">
        <v>0</v>
      </c>
      <c r="R51" s="97">
        <v>0</v>
      </c>
      <c r="S51" s="97">
        <v>0</v>
      </c>
      <c r="T51" s="97">
        <v>0</v>
      </c>
      <c r="U51" s="97">
        <v>0</v>
      </c>
      <c r="V51" s="97">
        <v>0</v>
      </c>
      <c r="W51" s="97">
        <v>0</v>
      </c>
      <c r="X51" s="97">
        <v>0</v>
      </c>
      <c r="Y51" s="97">
        <v>0</v>
      </c>
      <c r="Z51" s="97">
        <v>0</v>
      </c>
      <c r="AA51" s="97">
        <v>0</v>
      </c>
      <c r="AB51" s="101">
        <f t="shared" si="5"/>
        <v>0</v>
      </c>
      <c r="AC51" s="101">
        <f t="shared" si="7"/>
        <v>0</v>
      </c>
    </row>
    <row r="52" spans="1:29" x14ac:dyDescent="0.25">
      <c r="A52" s="41" t="s">
        <v>134</v>
      </c>
      <c r="B52" s="25" t="s">
        <v>133</v>
      </c>
      <c r="C52" s="97">
        <f>C30</f>
        <v>249.60219762390051</v>
      </c>
      <c r="D52" s="97">
        <v>0</v>
      </c>
      <c r="E52" s="97">
        <f>C52</f>
        <v>249.60219762390051</v>
      </c>
      <c r="F52" s="97">
        <f>E52-G52-H52</f>
        <v>249.60219762390051</v>
      </c>
      <c r="G52" s="99">
        <v>0</v>
      </c>
      <c r="H52" s="99">
        <v>0</v>
      </c>
      <c r="I52" s="99">
        <v>0</v>
      </c>
      <c r="J52" s="99">
        <v>0</v>
      </c>
      <c r="K52" s="99">
        <v>0</v>
      </c>
      <c r="L52" s="99">
        <v>0</v>
      </c>
      <c r="M52" s="99">
        <v>0</v>
      </c>
      <c r="N52" s="99">
        <v>0</v>
      </c>
      <c r="O52" s="99">
        <v>0</v>
      </c>
      <c r="P52" s="99">
        <f t="shared" ref="P52:P57" si="12">F52</f>
        <v>249.60219762390051</v>
      </c>
      <c r="Q52" s="99">
        <v>0</v>
      </c>
      <c r="R52" s="99">
        <v>0</v>
      </c>
      <c r="S52" s="99">
        <v>0</v>
      </c>
      <c r="T52" s="99">
        <v>0</v>
      </c>
      <c r="U52" s="99">
        <v>0</v>
      </c>
      <c r="V52" s="99">
        <v>0</v>
      </c>
      <c r="W52" s="99">
        <v>0</v>
      </c>
      <c r="X52" s="99">
        <v>0</v>
      </c>
      <c r="Y52" s="99">
        <v>0</v>
      </c>
      <c r="Z52" s="99">
        <v>0</v>
      </c>
      <c r="AA52" s="99">
        <v>0</v>
      </c>
      <c r="AB52" s="101">
        <f t="shared" si="5"/>
        <v>249.60219762390051</v>
      </c>
      <c r="AC52" s="101">
        <f t="shared" si="7"/>
        <v>0</v>
      </c>
    </row>
    <row r="53" spans="1:29" x14ac:dyDescent="0.25">
      <c r="A53" s="41" t="s">
        <v>132</v>
      </c>
      <c r="B53" s="25" t="s">
        <v>126</v>
      </c>
      <c r="C53" s="97">
        <v>0</v>
      </c>
      <c r="D53" s="97">
        <v>0</v>
      </c>
      <c r="E53" s="97">
        <f>C53</f>
        <v>0</v>
      </c>
      <c r="F53" s="97">
        <f>E53-G53-H53</f>
        <v>0</v>
      </c>
      <c r="G53" s="99">
        <v>0</v>
      </c>
      <c r="H53" s="99">
        <v>0</v>
      </c>
      <c r="I53" s="99">
        <v>0</v>
      </c>
      <c r="J53" s="99">
        <v>0</v>
      </c>
      <c r="K53" s="99">
        <v>0</v>
      </c>
      <c r="L53" s="99">
        <v>0</v>
      </c>
      <c r="M53" s="99">
        <v>0</v>
      </c>
      <c r="N53" s="99">
        <v>0</v>
      </c>
      <c r="O53" s="99">
        <v>0</v>
      </c>
      <c r="P53" s="99">
        <f t="shared" si="12"/>
        <v>0</v>
      </c>
      <c r="Q53" s="99">
        <v>0</v>
      </c>
      <c r="R53" s="99">
        <v>0</v>
      </c>
      <c r="S53" s="99">
        <v>0</v>
      </c>
      <c r="T53" s="99">
        <v>0</v>
      </c>
      <c r="U53" s="99">
        <v>0</v>
      </c>
      <c r="V53" s="99">
        <v>0</v>
      </c>
      <c r="W53" s="99">
        <v>0</v>
      </c>
      <c r="X53" s="99">
        <v>0</v>
      </c>
      <c r="Y53" s="99">
        <v>0</v>
      </c>
      <c r="Z53" s="99">
        <v>0</v>
      </c>
      <c r="AA53" s="99">
        <v>0</v>
      </c>
      <c r="AB53" s="101">
        <f t="shared" si="5"/>
        <v>0</v>
      </c>
      <c r="AC53" s="101">
        <f t="shared" si="7"/>
        <v>0</v>
      </c>
    </row>
    <row r="54" spans="1:29" x14ac:dyDescent="0.25">
      <c r="A54" s="41" t="s">
        <v>131</v>
      </c>
      <c r="B54" s="40" t="s">
        <v>125</v>
      </c>
      <c r="C54" s="97">
        <f>C45</f>
        <v>80</v>
      </c>
      <c r="D54" s="97">
        <v>0</v>
      </c>
      <c r="E54" s="97">
        <f>C54</f>
        <v>80</v>
      </c>
      <c r="F54" s="97">
        <f>E54-G54-H54</f>
        <v>80</v>
      </c>
      <c r="G54" s="99">
        <v>0</v>
      </c>
      <c r="H54" s="99">
        <v>0</v>
      </c>
      <c r="I54" s="99">
        <v>0</v>
      </c>
      <c r="J54" s="99">
        <v>0</v>
      </c>
      <c r="K54" s="99">
        <v>0</v>
      </c>
      <c r="L54" s="99">
        <v>0</v>
      </c>
      <c r="M54" s="99">
        <v>0</v>
      </c>
      <c r="N54" s="99">
        <v>0</v>
      </c>
      <c r="O54" s="99">
        <v>0</v>
      </c>
      <c r="P54" s="99">
        <f t="shared" si="12"/>
        <v>80</v>
      </c>
      <c r="Q54" s="99">
        <v>0</v>
      </c>
      <c r="R54" s="99">
        <v>0</v>
      </c>
      <c r="S54" s="99">
        <v>0</v>
      </c>
      <c r="T54" s="99">
        <v>0</v>
      </c>
      <c r="U54" s="99">
        <v>0</v>
      </c>
      <c r="V54" s="99">
        <v>0</v>
      </c>
      <c r="W54" s="99">
        <v>0</v>
      </c>
      <c r="X54" s="99">
        <v>0</v>
      </c>
      <c r="Y54" s="99">
        <v>0</v>
      </c>
      <c r="Z54" s="99">
        <v>0</v>
      </c>
      <c r="AA54" s="99">
        <v>0</v>
      </c>
      <c r="AB54" s="101">
        <f t="shared" si="5"/>
        <v>80</v>
      </c>
      <c r="AC54" s="101">
        <f t="shared" si="7"/>
        <v>0</v>
      </c>
    </row>
    <row r="55" spans="1:29" x14ac:dyDescent="0.25">
      <c r="A55" s="41" t="s">
        <v>130</v>
      </c>
      <c r="B55" s="40" t="s">
        <v>124</v>
      </c>
      <c r="C55" s="97">
        <v>0</v>
      </c>
      <c r="D55" s="97">
        <v>0</v>
      </c>
      <c r="E55" s="97">
        <v>0</v>
      </c>
      <c r="F55" s="97">
        <v>0</v>
      </c>
      <c r="G55" s="99">
        <v>0</v>
      </c>
      <c r="H55" s="99">
        <v>0</v>
      </c>
      <c r="I55" s="99">
        <v>0</v>
      </c>
      <c r="J55" s="99">
        <v>0</v>
      </c>
      <c r="K55" s="99">
        <v>0</v>
      </c>
      <c r="L55" s="99">
        <v>0</v>
      </c>
      <c r="M55" s="99">
        <v>0</v>
      </c>
      <c r="N55" s="99">
        <v>0</v>
      </c>
      <c r="O55" s="99">
        <v>0</v>
      </c>
      <c r="P55" s="99">
        <f t="shared" si="12"/>
        <v>0</v>
      </c>
      <c r="Q55" s="99">
        <v>0</v>
      </c>
      <c r="R55" s="99">
        <v>0</v>
      </c>
      <c r="S55" s="99">
        <v>0</v>
      </c>
      <c r="T55" s="99">
        <v>0</v>
      </c>
      <c r="U55" s="99">
        <v>0</v>
      </c>
      <c r="V55" s="99">
        <v>0</v>
      </c>
      <c r="W55" s="99">
        <v>0</v>
      </c>
      <c r="X55" s="99">
        <v>0</v>
      </c>
      <c r="Y55" s="99">
        <v>0</v>
      </c>
      <c r="Z55" s="99">
        <v>0</v>
      </c>
      <c r="AA55" s="99">
        <v>0</v>
      </c>
      <c r="AB55" s="101">
        <f t="shared" si="5"/>
        <v>0</v>
      </c>
      <c r="AC55" s="101">
        <f t="shared" si="7"/>
        <v>0</v>
      </c>
    </row>
    <row r="56" spans="1:29" x14ac:dyDescent="0.25">
      <c r="A56" s="41" t="s">
        <v>129</v>
      </c>
      <c r="B56" s="40" t="s">
        <v>123</v>
      </c>
      <c r="C56" s="97">
        <v>0</v>
      </c>
      <c r="D56" s="97">
        <v>0</v>
      </c>
      <c r="E56" s="97">
        <v>0</v>
      </c>
      <c r="F56" s="97">
        <v>0</v>
      </c>
      <c r="G56" s="99">
        <v>0</v>
      </c>
      <c r="H56" s="99">
        <v>0</v>
      </c>
      <c r="I56" s="99">
        <v>0</v>
      </c>
      <c r="J56" s="99">
        <v>0</v>
      </c>
      <c r="K56" s="99">
        <v>0</v>
      </c>
      <c r="L56" s="99">
        <v>0</v>
      </c>
      <c r="M56" s="99">
        <v>0</v>
      </c>
      <c r="N56" s="99">
        <v>0</v>
      </c>
      <c r="O56" s="99">
        <v>0</v>
      </c>
      <c r="P56" s="99">
        <f t="shared" si="12"/>
        <v>0</v>
      </c>
      <c r="Q56" s="99">
        <v>0</v>
      </c>
      <c r="R56" s="99">
        <v>0</v>
      </c>
      <c r="S56" s="99">
        <v>0</v>
      </c>
      <c r="T56" s="99">
        <v>0</v>
      </c>
      <c r="U56" s="99">
        <v>0</v>
      </c>
      <c r="V56" s="99">
        <v>0</v>
      </c>
      <c r="W56" s="99">
        <v>0</v>
      </c>
      <c r="X56" s="99">
        <v>0</v>
      </c>
      <c r="Y56" s="99">
        <v>0</v>
      </c>
      <c r="Z56" s="99">
        <v>0</v>
      </c>
      <c r="AA56" s="99">
        <v>0</v>
      </c>
      <c r="AB56" s="101">
        <f t="shared" si="5"/>
        <v>0</v>
      </c>
      <c r="AC56" s="101">
        <f t="shared" si="7"/>
        <v>0</v>
      </c>
    </row>
    <row r="57" spans="1:29" ht="18.75" x14ac:dyDescent="0.25">
      <c r="A57" s="41" t="s">
        <v>128</v>
      </c>
      <c r="B57" s="40" t="s">
        <v>529</v>
      </c>
      <c r="C57" s="97">
        <v>34</v>
      </c>
      <c r="D57" s="97">
        <v>0</v>
      </c>
      <c r="E57" s="97">
        <v>34</v>
      </c>
      <c r="F57" s="97">
        <v>34</v>
      </c>
      <c r="G57" s="99">
        <v>0</v>
      </c>
      <c r="H57" s="99">
        <v>0</v>
      </c>
      <c r="I57" s="99">
        <v>0</v>
      </c>
      <c r="J57" s="99">
        <v>0</v>
      </c>
      <c r="K57" s="99">
        <v>0</v>
      </c>
      <c r="L57" s="99">
        <v>0</v>
      </c>
      <c r="M57" s="99">
        <v>0</v>
      </c>
      <c r="N57" s="99">
        <v>0</v>
      </c>
      <c r="O57" s="99">
        <v>0</v>
      </c>
      <c r="P57" s="99">
        <f t="shared" si="12"/>
        <v>34</v>
      </c>
      <c r="Q57" s="99">
        <v>0</v>
      </c>
      <c r="R57" s="99">
        <v>0</v>
      </c>
      <c r="S57" s="99">
        <v>0</v>
      </c>
      <c r="T57" s="99">
        <v>0</v>
      </c>
      <c r="U57" s="99">
        <v>0</v>
      </c>
      <c r="V57" s="99">
        <v>0</v>
      </c>
      <c r="W57" s="99">
        <v>0</v>
      </c>
      <c r="X57" s="99">
        <v>0</v>
      </c>
      <c r="Y57" s="99">
        <v>0</v>
      </c>
      <c r="Z57" s="99">
        <v>0</v>
      </c>
      <c r="AA57" s="99">
        <v>0</v>
      </c>
      <c r="AB57" s="101">
        <f t="shared" si="5"/>
        <v>34</v>
      </c>
      <c r="AC57" s="101">
        <f t="shared" si="7"/>
        <v>0</v>
      </c>
    </row>
    <row r="58" spans="1:29" ht="36.75" customHeight="1" x14ac:dyDescent="0.25">
      <c r="A58" s="44" t="s">
        <v>56</v>
      </c>
      <c r="B58" s="53" t="s">
        <v>207</v>
      </c>
      <c r="C58" s="97">
        <v>0</v>
      </c>
      <c r="D58" s="97">
        <v>0</v>
      </c>
      <c r="E58" s="97">
        <v>0</v>
      </c>
      <c r="F58" s="97">
        <v>0</v>
      </c>
      <c r="G58" s="97">
        <v>0</v>
      </c>
      <c r="H58" s="97">
        <v>0</v>
      </c>
      <c r="I58" s="97">
        <v>0</v>
      </c>
      <c r="J58" s="97">
        <v>0</v>
      </c>
      <c r="K58" s="97">
        <v>0</v>
      </c>
      <c r="L58" s="97">
        <v>0</v>
      </c>
      <c r="M58" s="97">
        <v>0</v>
      </c>
      <c r="N58" s="97">
        <v>0</v>
      </c>
      <c r="O58" s="97">
        <v>0</v>
      </c>
      <c r="P58" s="97">
        <v>0</v>
      </c>
      <c r="Q58" s="97">
        <v>0</v>
      </c>
      <c r="R58" s="97">
        <v>0</v>
      </c>
      <c r="S58" s="97">
        <v>0</v>
      </c>
      <c r="T58" s="97">
        <v>0</v>
      </c>
      <c r="U58" s="97">
        <v>0</v>
      </c>
      <c r="V58" s="97">
        <v>0</v>
      </c>
      <c r="W58" s="97">
        <v>0</v>
      </c>
      <c r="X58" s="97">
        <v>0</v>
      </c>
      <c r="Y58" s="97">
        <v>0</v>
      </c>
      <c r="Z58" s="97">
        <v>0</v>
      </c>
      <c r="AA58" s="97">
        <v>0</v>
      </c>
      <c r="AB58" s="101">
        <f t="shared" si="5"/>
        <v>0</v>
      </c>
      <c r="AC58" s="101">
        <f t="shared" si="7"/>
        <v>0</v>
      </c>
    </row>
    <row r="59" spans="1:29" x14ac:dyDescent="0.25">
      <c r="A59" s="44" t="s">
        <v>54</v>
      </c>
      <c r="B59" s="43" t="s">
        <v>127</v>
      </c>
      <c r="C59" s="97">
        <v>0</v>
      </c>
      <c r="D59" s="97">
        <v>0</v>
      </c>
      <c r="E59" s="97">
        <v>0</v>
      </c>
      <c r="F59" s="97">
        <v>0</v>
      </c>
      <c r="G59" s="97">
        <v>0</v>
      </c>
      <c r="H59" s="97">
        <v>0</v>
      </c>
      <c r="I59" s="97">
        <v>0</v>
      </c>
      <c r="J59" s="97">
        <v>0</v>
      </c>
      <c r="K59" s="97">
        <v>0</v>
      </c>
      <c r="L59" s="97">
        <v>0</v>
      </c>
      <c r="M59" s="97">
        <v>0</v>
      </c>
      <c r="N59" s="97">
        <v>0</v>
      </c>
      <c r="O59" s="97">
        <v>0</v>
      </c>
      <c r="P59" s="97">
        <v>0</v>
      </c>
      <c r="Q59" s="97">
        <v>0</v>
      </c>
      <c r="R59" s="97">
        <v>0</v>
      </c>
      <c r="S59" s="97">
        <v>0</v>
      </c>
      <c r="T59" s="97">
        <v>0</v>
      </c>
      <c r="U59" s="97">
        <v>0</v>
      </c>
      <c r="V59" s="97">
        <v>0</v>
      </c>
      <c r="W59" s="97">
        <v>0</v>
      </c>
      <c r="X59" s="97">
        <v>0</v>
      </c>
      <c r="Y59" s="97">
        <v>0</v>
      </c>
      <c r="Z59" s="97">
        <v>0</v>
      </c>
      <c r="AA59" s="97">
        <v>0</v>
      </c>
      <c r="AB59" s="101">
        <f t="shared" si="5"/>
        <v>0</v>
      </c>
      <c r="AC59" s="101">
        <f t="shared" si="7"/>
        <v>0</v>
      </c>
    </row>
    <row r="60" spans="1:29" x14ac:dyDescent="0.25">
      <c r="A60" s="41" t="s">
        <v>201</v>
      </c>
      <c r="B60" s="42" t="s">
        <v>147</v>
      </c>
      <c r="C60" s="97">
        <v>0</v>
      </c>
      <c r="D60" s="97">
        <v>0</v>
      </c>
      <c r="E60" s="97">
        <v>0</v>
      </c>
      <c r="F60" s="97">
        <v>0</v>
      </c>
      <c r="G60" s="99">
        <v>0</v>
      </c>
      <c r="H60" s="99">
        <v>0</v>
      </c>
      <c r="I60" s="99">
        <v>0</v>
      </c>
      <c r="J60" s="99">
        <v>0</v>
      </c>
      <c r="K60" s="99">
        <v>0</v>
      </c>
      <c r="L60" s="99">
        <v>0</v>
      </c>
      <c r="M60" s="99">
        <v>0</v>
      </c>
      <c r="N60" s="99">
        <v>0</v>
      </c>
      <c r="O60" s="99">
        <v>0</v>
      </c>
      <c r="P60" s="99">
        <v>0</v>
      </c>
      <c r="Q60" s="99">
        <v>0</v>
      </c>
      <c r="R60" s="99">
        <v>0</v>
      </c>
      <c r="S60" s="99">
        <v>0</v>
      </c>
      <c r="T60" s="99">
        <v>0</v>
      </c>
      <c r="U60" s="99">
        <v>0</v>
      </c>
      <c r="V60" s="99">
        <v>0</v>
      </c>
      <c r="W60" s="99">
        <v>0</v>
      </c>
      <c r="X60" s="99">
        <v>0</v>
      </c>
      <c r="Y60" s="99">
        <v>0</v>
      </c>
      <c r="Z60" s="99">
        <v>0</v>
      </c>
      <c r="AA60" s="99">
        <v>0</v>
      </c>
      <c r="AB60" s="101">
        <f t="shared" si="5"/>
        <v>0</v>
      </c>
      <c r="AC60" s="101">
        <f t="shared" si="7"/>
        <v>0</v>
      </c>
    </row>
    <row r="61" spans="1:29" x14ac:dyDescent="0.25">
      <c r="A61" s="41" t="s">
        <v>202</v>
      </c>
      <c r="B61" s="42" t="s">
        <v>145</v>
      </c>
      <c r="C61" s="97">
        <v>0</v>
      </c>
      <c r="D61" s="97">
        <v>0</v>
      </c>
      <c r="E61" s="97">
        <v>0</v>
      </c>
      <c r="F61" s="97">
        <v>0</v>
      </c>
      <c r="G61" s="99">
        <v>0</v>
      </c>
      <c r="H61" s="99">
        <v>0</v>
      </c>
      <c r="I61" s="99">
        <v>0</v>
      </c>
      <c r="J61" s="99">
        <v>0</v>
      </c>
      <c r="K61" s="99">
        <v>0</v>
      </c>
      <c r="L61" s="99">
        <v>0</v>
      </c>
      <c r="M61" s="99">
        <v>0</v>
      </c>
      <c r="N61" s="99">
        <v>0</v>
      </c>
      <c r="O61" s="99">
        <v>0</v>
      </c>
      <c r="P61" s="99">
        <v>0</v>
      </c>
      <c r="Q61" s="99">
        <v>0</v>
      </c>
      <c r="R61" s="99">
        <v>0</v>
      </c>
      <c r="S61" s="99">
        <v>0</v>
      </c>
      <c r="T61" s="99">
        <v>0</v>
      </c>
      <c r="U61" s="99">
        <v>0</v>
      </c>
      <c r="V61" s="99">
        <v>0</v>
      </c>
      <c r="W61" s="99">
        <v>0</v>
      </c>
      <c r="X61" s="99">
        <v>0</v>
      </c>
      <c r="Y61" s="99">
        <v>0</v>
      </c>
      <c r="Z61" s="99">
        <v>0</v>
      </c>
      <c r="AA61" s="99">
        <v>0</v>
      </c>
      <c r="AB61" s="101">
        <f t="shared" si="5"/>
        <v>0</v>
      </c>
      <c r="AC61" s="101">
        <f t="shared" si="7"/>
        <v>0</v>
      </c>
    </row>
    <row r="62" spans="1:29" x14ac:dyDescent="0.25">
      <c r="A62" s="41" t="s">
        <v>203</v>
      </c>
      <c r="B62" s="42" t="s">
        <v>143</v>
      </c>
      <c r="C62" s="97">
        <v>0</v>
      </c>
      <c r="D62" s="97">
        <v>0</v>
      </c>
      <c r="E62" s="97">
        <v>0</v>
      </c>
      <c r="F62" s="97">
        <v>0</v>
      </c>
      <c r="G62" s="99">
        <v>0</v>
      </c>
      <c r="H62" s="99">
        <v>0</v>
      </c>
      <c r="I62" s="99">
        <v>0</v>
      </c>
      <c r="J62" s="99">
        <v>0</v>
      </c>
      <c r="K62" s="99">
        <v>0</v>
      </c>
      <c r="L62" s="99">
        <v>0</v>
      </c>
      <c r="M62" s="99">
        <v>0</v>
      </c>
      <c r="N62" s="99">
        <v>0</v>
      </c>
      <c r="O62" s="99">
        <v>0</v>
      </c>
      <c r="P62" s="99">
        <v>0</v>
      </c>
      <c r="Q62" s="99">
        <v>0</v>
      </c>
      <c r="R62" s="99">
        <v>0</v>
      </c>
      <c r="S62" s="99">
        <v>0</v>
      </c>
      <c r="T62" s="99">
        <v>0</v>
      </c>
      <c r="U62" s="99">
        <v>0</v>
      </c>
      <c r="V62" s="99">
        <v>0</v>
      </c>
      <c r="W62" s="99">
        <v>0</v>
      </c>
      <c r="X62" s="99">
        <v>0</v>
      </c>
      <c r="Y62" s="99">
        <v>0</v>
      </c>
      <c r="Z62" s="99">
        <v>0</v>
      </c>
      <c r="AA62" s="99">
        <v>0</v>
      </c>
      <c r="AB62" s="101">
        <f t="shared" si="5"/>
        <v>0</v>
      </c>
      <c r="AC62" s="101">
        <f t="shared" si="7"/>
        <v>0</v>
      </c>
    </row>
    <row r="63" spans="1:29" x14ac:dyDescent="0.25">
      <c r="A63" s="41" t="s">
        <v>204</v>
      </c>
      <c r="B63" s="42" t="s">
        <v>206</v>
      </c>
      <c r="C63" s="97">
        <v>0</v>
      </c>
      <c r="D63" s="97">
        <v>0</v>
      </c>
      <c r="E63" s="97">
        <v>0</v>
      </c>
      <c r="F63" s="97">
        <v>0</v>
      </c>
      <c r="G63" s="99">
        <v>0</v>
      </c>
      <c r="H63" s="99">
        <v>0</v>
      </c>
      <c r="I63" s="99">
        <v>0</v>
      </c>
      <c r="J63" s="99">
        <v>0</v>
      </c>
      <c r="K63" s="99">
        <v>0</v>
      </c>
      <c r="L63" s="99">
        <v>0</v>
      </c>
      <c r="M63" s="99">
        <v>0</v>
      </c>
      <c r="N63" s="99">
        <v>0</v>
      </c>
      <c r="O63" s="99">
        <v>0</v>
      </c>
      <c r="P63" s="99">
        <v>0</v>
      </c>
      <c r="Q63" s="99">
        <v>0</v>
      </c>
      <c r="R63" s="99">
        <v>0</v>
      </c>
      <c r="S63" s="99">
        <v>0</v>
      </c>
      <c r="T63" s="99">
        <v>0</v>
      </c>
      <c r="U63" s="99">
        <v>0</v>
      </c>
      <c r="V63" s="99">
        <v>0</v>
      </c>
      <c r="W63" s="99">
        <v>0</v>
      </c>
      <c r="X63" s="99">
        <v>0</v>
      </c>
      <c r="Y63" s="99">
        <v>0</v>
      </c>
      <c r="Z63" s="99">
        <v>0</v>
      </c>
      <c r="AA63" s="99">
        <v>0</v>
      </c>
      <c r="AB63" s="101">
        <f t="shared" si="5"/>
        <v>0</v>
      </c>
      <c r="AC63" s="101">
        <f t="shared" si="7"/>
        <v>0</v>
      </c>
    </row>
    <row r="64" spans="1:29" ht="18.75" x14ac:dyDescent="0.25">
      <c r="A64" s="41" t="s">
        <v>205</v>
      </c>
      <c r="B64" s="40" t="s">
        <v>122</v>
      </c>
      <c r="C64" s="97">
        <v>0</v>
      </c>
      <c r="D64" s="97">
        <v>0</v>
      </c>
      <c r="E64" s="97">
        <v>0</v>
      </c>
      <c r="F64" s="97">
        <v>0</v>
      </c>
      <c r="G64" s="99">
        <v>0</v>
      </c>
      <c r="H64" s="99">
        <v>0</v>
      </c>
      <c r="I64" s="99">
        <v>0</v>
      </c>
      <c r="J64" s="99">
        <v>0</v>
      </c>
      <c r="K64" s="99">
        <v>0</v>
      </c>
      <c r="L64" s="99">
        <v>0</v>
      </c>
      <c r="M64" s="99">
        <v>0</v>
      </c>
      <c r="N64" s="99">
        <v>0</v>
      </c>
      <c r="O64" s="99">
        <v>0</v>
      </c>
      <c r="P64" s="99">
        <v>0</v>
      </c>
      <c r="Q64" s="99">
        <v>0</v>
      </c>
      <c r="R64" s="99">
        <v>0</v>
      </c>
      <c r="S64" s="99">
        <v>0</v>
      </c>
      <c r="T64" s="99">
        <v>0</v>
      </c>
      <c r="U64" s="99">
        <v>0</v>
      </c>
      <c r="V64" s="99">
        <v>0</v>
      </c>
      <c r="W64" s="99">
        <v>0</v>
      </c>
      <c r="X64" s="99">
        <v>0</v>
      </c>
      <c r="Y64" s="99">
        <v>0</v>
      </c>
      <c r="Z64" s="99">
        <v>0</v>
      </c>
      <c r="AA64" s="99">
        <v>0</v>
      </c>
      <c r="AB64" s="101">
        <f t="shared" si="5"/>
        <v>0</v>
      </c>
      <c r="AC64" s="101">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61"/>
      <c r="C66" s="361"/>
      <c r="D66" s="361"/>
      <c r="E66" s="361"/>
      <c r="F66" s="361"/>
      <c r="G66" s="361"/>
      <c r="H66" s="361"/>
      <c r="I66" s="361"/>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61"/>
      <c r="C68" s="361"/>
      <c r="D68" s="361"/>
      <c r="E68" s="361"/>
      <c r="F68" s="361"/>
      <c r="G68" s="361"/>
      <c r="H68" s="361"/>
      <c r="I68" s="361"/>
      <c r="J68" s="35"/>
      <c r="K68" s="35"/>
    </row>
    <row r="70" spans="1:28" ht="36.75" customHeight="1" x14ac:dyDescent="0.25">
      <c r="B70" s="361"/>
      <c r="C70" s="361"/>
      <c r="D70" s="361"/>
      <c r="E70" s="361"/>
      <c r="F70" s="361"/>
      <c r="G70" s="361"/>
      <c r="H70" s="361"/>
      <c r="I70" s="361"/>
      <c r="J70" s="35"/>
      <c r="K70" s="35"/>
    </row>
    <row r="71" spans="1:28" x14ac:dyDescent="0.25">
      <c r="N71" s="36"/>
      <c r="V71" s="36"/>
    </row>
    <row r="72" spans="1:28" ht="51" customHeight="1" x14ac:dyDescent="0.25">
      <c r="B72" s="361"/>
      <c r="C72" s="361"/>
      <c r="D72" s="361"/>
      <c r="E72" s="361"/>
      <c r="F72" s="361"/>
      <c r="G72" s="361"/>
      <c r="H72" s="361"/>
      <c r="I72" s="361"/>
      <c r="J72" s="35"/>
      <c r="K72" s="35"/>
      <c r="N72" s="36"/>
      <c r="V72" s="36"/>
    </row>
    <row r="73" spans="1:28" ht="32.25" customHeight="1" x14ac:dyDescent="0.25">
      <c r="B73" s="361"/>
      <c r="C73" s="361"/>
      <c r="D73" s="361"/>
      <c r="E73" s="361"/>
      <c r="F73" s="361"/>
      <c r="G73" s="361"/>
      <c r="H73" s="361"/>
      <c r="I73" s="361"/>
      <c r="J73" s="35"/>
      <c r="K73" s="35"/>
    </row>
    <row r="74" spans="1:28" ht="51.75" customHeight="1" x14ac:dyDescent="0.25">
      <c r="B74" s="361"/>
      <c r="C74" s="361"/>
      <c r="D74" s="361"/>
      <c r="E74" s="361"/>
      <c r="F74" s="361"/>
      <c r="G74" s="361"/>
      <c r="H74" s="361"/>
      <c r="I74" s="361"/>
      <c r="J74" s="35"/>
      <c r="K74" s="35"/>
    </row>
    <row r="75" spans="1:28" ht="21.75" customHeight="1" x14ac:dyDescent="0.25">
      <c r="B75" s="367"/>
      <c r="C75" s="367"/>
      <c r="D75" s="367"/>
      <c r="E75" s="367"/>
      <c r="F75" s="367"/>
      <c r="G75" s="367"/>
      <c r="H75" s="367"/>
      <c r="I75" s="367"/>
      <c r="J75" s="34"/>
      <c r="K75" s="34"/>
    </row>
    <row r="76" spans="1:28" ht="23.25" customHeight="1" x14ac:dyDescent="0.25"/>
    <row r="77" spans="1:28" ht="18.75" customHeight="1" x14ac:dyDescent="0.25">
      <c r="B77" s="360"/>
      <c r="C77" s="360"/>
      <c r="D77" s="360"/>
      <c r="E77" s="360"/>
      <c r="F77" s="360"/>
      <c r="G77" s="360"/>
      <c r="H77" s="360"/>
      <c r="I77" s="360"/>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2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topLeftCell="C2" zoomScale="90" zoomScaleNormal="90" zoomScaleSheetLayoutView="70" workbookViewId="0">
      <selection activeCell="J24" sqref="J2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4.42578125" style="32" customWidth="1"/>
    <col min="6" max="6" width="15.140625" style="32" customWidth="1"/>
    <col min="7" max="7" width="15.85546875" style="32" customWidth="1"/>
    <col min="8" max="15" width="9.28515625" style="32" customWidth="1"/>
    <col min="16" max="17" width="8" style="32" customWidth="1"/>
    <col min="18" max="19" width="8.5703125" style="32" customWidth="1"/>
    <col min="20" max="21" width="8" style="32" customWidth="1"/>
    <col min="22" max="23" width="8.5703125" style="32" customWidth="1"/>
    <col min="24" max="24" width="9.28515625" style="32" customWidth="1"/>
    <col min="25" max="25" width="9" style="32" customWidth="1"/>
    <col min="26" max="27" width="8.5703125" style="32" customWidth="1"/>
    <col min="28" max="28" width="13.140625" style="32" customWidth="1"/>
    <col min="29" max="29" width="18.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85" t="str">
        <f>'6.1. Паспорт сетевой график'!A5:K5</f>
        <v>Год раскрытия информации: 2024 год</v>
      </c>
      <c r="B4" s="385"/>
      <c r="C4" s="385"/>
      <c r="D4" s="385"/>
      <c r="E4" s="385"/>
      <c r="F4" s="385"/>
      <c r="G4" s="385"/>
      <c r="H4" s="385"/>
      <c r="I4" s="385"/>
      <c r="J4" s="385"/>
      <c r="K4" s="385"/>
      <c r="L4" s="385"/>
      <c r="M4" s="385"/>
      <c r="N4" s="385"/>
      <c r="O4" s="385"/>
      <c r="P4" s="385"/>
      <c r="Q4" s="385"/>
      <c r="R4" s="385"/>
      <c r="S4" s="385"/>
      <c r="T4" s="385"/>
      <c r="U4" s="385"/>
      <c r="V4" s="385"/>
      <c r="W4" s="385"/>
      <c r="X4" s="385"/>
      <c r="Y4" s="385"/>
      <c r="Z4" s="385"/>
      <c r="AA4" s="385"/>
      <c r="AB4" s="385"/>
      <c r="AC4" s="385"/>
    </row>
    <row r="5" spans="1:29" ht="18.75" x14ac:dyDescent="0.3">
      <c r="AC5" s="12"/>
    </row>
    <row r="6" spans="1:29" ht="18.75" x14ac:dyDescent="0.25">
      <c r="A6" s="309" t="s">
        <v>7</v>
      </c>
      <c r="B6" s="309"/>
      <c r="C6" s="309"/>
      <c r="D6" s="309"/>
      <c r="E6" s="309"/>
      <c r="F6" s="309"/>
      <c r="G6" s="309"/>
      <c r="H6" s="309"/>
      <c r="I6" s="309"/>
      <c r="J6" s="309"/>
      <c r="K6" s="309"/>
      <c r="L6" s="309"/>
      <c r="M6" s="309"/>
      <c r="N6" s="309"/>
      <c r="O6" s="309"/>
      <c r="P6" s="309"/>
      <c r="Q6" s="309"/>
      <c r="R6" s="309"/>
      <c r="S6" s="309"/>
      <c r="T6" s="309"/>
      <c r="U6" s="309"/>
      <c r="V6" s="309"/>
      <c r="W6" s="309"/>
      <c r="X6" s="309"/>
      <c r="Y6" s="309"/>
      <c r="Z6" s="309"/>
      <c r="AA6" s="309"/>
      <c r="AB6" s="309"/>
      <c r="AC6" s="309"/>
    </row>
    <row r="7" spans="1:29" ht="18.75" x14ac:dyDescent="0.25">
      <c r="A7" s="127"/>
      <c r="B7" s="127"/>
      <c r="C7" s="127"/>
      <c r="D7" s="127"/>
      <c r="E7" s="127"/>
      <c r="F7" s="127"/>
      <c r="G7" s="127"/>
      <c r="H7" s="278"/>
      <c r="I7" s="278"/>
      <c r="J7" s="278"/>
      <c r="K7" s="278"/>
      <c r="L7" s="278"/>
      <c r="M7" s="278"/>
      <c r="N7" s="278"/>
      <c r="O7" s="278"/>
      <c r="P7" s="278"/>
      <c r="Q7" s="278"/>
      <c r="R7" s="278"/>
      <c r="S7" s="278"/>
      <c r="T7" s="278"/>
      <c r="U7" s="278"/>
      <c r="V7" s="278"/>
      <c r="W7" s="278"/>
      <c r="X7" s="278"/>
      <c r="Y7" s="278"/>
      <c r="Z7" s="278"/>
      <c r="AA7" s="278"/>
      <c r="AB7" s="278"/>
      <c r="AC7" s="278"/>
    </row>
    <row r="8" spans="1:29" x14ac:dyDescent="0.25">
      <c r="A8" s="386" t="str">
        <f>'6.1. Паспорт сетевой график'!A9</f>
        <v xml:space="preserve">Акционерное общество "Западная энергетическая компания" </v>
      </c>
      <c r="B8" s="386"/>
      <c r="C8" s="386"/>
      <c r="D8" s="386"/>
      <c r="E8" s="386"/>
      <c r="F8" s="386"/>
      <c r="G8" s="386"/>
      <c r="H8" s="386"/>
      <c r="I8" s="386"/>
      <c r="J8" s="386"/>
      <c r="K8" s="386"/>
      <c r="L8" s="386"/>
      <c r="M8" s="386"/>
      <c r="N8" s="386"/>
      <c r="O8" s="386"/>
      <c r="P8" s="386"/>
      <c r="Q8" s="386"/>
      <c r="R8" s="386"/>
      <c r="S8" s="386"/>
      <c r="T8" s="386"/>
      <c r="U8" s="386"/>
      <c r="V8" s="386"/>
      <c r="W8" s="386"/>
      <c r="X8" s="386"/>
      <c r="Y8" s="386"/>
      <c r="Z8" s="386"/>
      <c r="AA8" s="386"/>
      <c r="AB8" s="386"/>
      <c r="AC8" s="386"/>
    </row>
    <row r="9" spans="1:29" ht="18.75" customHeight="1" x14ac:dyDescent="0.25">
      <c r="A9" s="308" t="s">
        <v>6</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308"/>
      <c r="AB9" s="308"/>
      <c r="AC9" s="308"/>
    </row>
    <row r="10" spans="1:29" ht="18.75" x14ac:dyDescent="0.25">
      <c r="A10" s="127"/>
      <c r="B10" s="127"/>
      <c r="C10" s="127"/>
      <c r="D10" s="127"/>
      <c r="E10" s="127"/>
      <c r="F10" s="127"/>
      <c r="G10" s="127"/>
      <c r="H10" s="278"/>
      <c r="I10" s="278"/>
      <c r="J10" s="278"/>
      <c r="K10" s="278"/>
      <c r="L10" s="278"/>
      <c r="M10" s="278"/>
      <c r="N10" s="278"/>
      <c r="O10" s="278"/>
      <c r="P10" s="278"/>
      <c r="Q10" s="278"/>
      <c r="R10" s="278"/>
      <c r="S10" s="278"/>
      <c r="T10" s="278"/>
      <c r="U10" s="278"/>
      <c r="V10" s="278"/>
      <c r="W10" s="278"/>
      <c r="X10" s="278"/>
      <c r="Y10" s="278"/>
      <c r="Z10" s="278"/>
      <c r="AA10" s="278"/>
      <c r="AB10" s="278"/>
      <c r="AC10" s="278"/>
    </row>
    <row r="11" spans="1:29" x14ac:dyDescent="0.25">
      <c r="A11" s="386" t="str">
        <f>'6.1. Паспорт сетевой график'!A12</f>
        <v>J_19-05</v>
      </c>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c r="Z11" s="386"/>
      <c r="AA11" s="386"/>
      <c r="AB11" s="386"/>
      <c r="AC11" s="386"/>
    </row>
    <row r="12" spans="1:29" x14ac:dyDescent="0.25">
      <c r="A12" s="308" t="s">
        <v>5</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308"/>
      <c r="AB12" s="308"/>
      <c r="AC12" s="308"/>
    </row>
    <row r="13" spans="1:29" ht="16.5" customHeight="1" x14ac:dyDescent="0.3">
      <c r="A13" s="127"/>
      <c r="B13" s="127"/>
      <c r="C13" s="127"/>
      <c r="D13" s="127"/>
      <c r="E13" s="127"/>
      <c r="F13" s="127"/>
      <c r="G13" s="127"/>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80" t="str">
        <f>'6.1. Паспорт сетевой график'!A15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4" s="380"/>
      <c r="C14" s="380"/>
      <c r="D14" s="380"/>
      <c r="E14" s="380"/>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380"/>
    </row>
    <row r="15" spans="1:29" ht="15.75" customHeight="1" x14ac:dyDescent="0.25">
      <c r="A15" s="308" t="s">
        <v>4</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308"/>
      <c r="AB15" s="308"/>
      <c r="AC15" s="308"/>
    </row>
    <row r="16" spans="1:29" x14ac:dyDescent="0.25">
      <c r="A16" s="371"/>
      <c r="B16" s="371"/>
      <c r="C16" s="371"/>
      <c r="D16" s="371"/>
      <c r="E16" s="371"/>
      <c r="F16" s="371"/>
      <c r="G16" s="371"/>
      <c r="H16" s="371"/>
      <c r="I16" s="371"/>
      <c r="J16" s="371"/>
      <c r="K16" s="371"/>
      <c r="L16" s="371"/>
      <c r="M16" s="371"/>
      <c r="N16" s="371"/>
      <c r="O16" s="371"/>
      <c r="P16" s="371"/>
      <c r="Q16" s="371"/>
      <c r="R16" s="371"/>
      <c r="S16" s="371"/>
      <c r="T16" s="371"/>
      <c r="U16" s="371"/>
      <c r="V16" s="371"/>
      <c r="W16" s="371"/>
      <c r="X16" s="371"/>
      <c r="Y16" s="371"/>
      <c r="Z16" s="371"/>
      <c r="AA16" s="371"/>
      <c r="AB16" s="371"/>
      <c r="AC16" s="371"/>
    </row>
    <row r="18" spans="1:32" x14ac:dyDescent="0.25">
      <c r="A18" s="371" t="s">
        <v>392</v>
      </c>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row>
    <row r="19" spans="1:32" ht="49.5" hidden="1" customHeight="1" x14ac:dyDescent="0.25">
      <c r="E19" s="48" t="s">
        <v>550</v>
      </c>
      <c r="F19" s="48" t="s">
        <v>551</v>
      </c>
      <c r="G19" s="48" t="s">
        <v>552</v>
      </c>
      <c r="H19" s="32" t="s">
        <v>553</v>
      </c>
      <c r="L19" s="32" t="s">
        <v>554</v>
      </c>
      <c r="P19" s="32" t="s">
        <v>555</v>
      </c>
    </row>
    <row r="20" spans="1:32" ht="33" customHeight="1" x14ac:dyDescent="0.25">
      <c r="A20" s="381" t="s">
        <v>183</v>
      </c>
      <c r="B20" s="381" t="s">
        <v>182</v>
      </c>
      <c r="C20" s="376" t="s">
        <v>181</v>
      </c>
      <c r="D20" s="376"/>
      <c r="E20" s="384" t="s">
        <v>180</v>
      </c>
      <c r="F20" s="384"/>
      <c r="G20" s="381" t="s">
        <v>632</v>
      </c>
      <c r="H20" s="377">
        <v>2025</v>
      </c>
      <c r="I20" s="378"/>
      <c r="J20" s="378"/>
      <c r="K20" s="379"/>
      <c r="L20" s="377">
        <v>2026</v>
      </c>
      <c r="M20" s="378"/>
      <c r="N20" s="378"/>
      <c r="O20" s="379"/>
      <c r="P20" s="377">
        <v>2027</v>
      </c>
      <c r="Q20" s="378"/>
      <c r="R20" s="378"/>
      <c r="S20" s="379"/>
      <c r="T20" s="377">
        <v>2028</v>
      </c>
      <c r="U20" s="378"/>
      <c r="V20" s="378"/>
      <c r="W20" s="379"/>
      <c r="X20" s="377">
        <v>2029</v>
      </c>
      <c r="Y20" s="378"/>
      <c r="Z20" s="378"/>
      <c r="AA20" s="378"/>
      <c r="AB20" s="375" t="s">
        <v>179</v>
      </c>
      <c r="AC20" s="375"/>
      <c r="AD20" s="280"/>
      <c r="AE20" s="280"/>
      <c r="AF20" s="280"/>
    </row>
    <row r="21" spans="1:32" ht="99.75" customHeight="1" x14ac:dyDescent="0.25">
      <c r="A21" s="382"/>
      <c r="B21" s="382"/>
      <c r="C21" s="376"/>
      <c r="D21" s="376"/>
      <c r="E21" s="384"/>
      <c r="F21" s="384"/>
      <c r="G21" s="382"/>
      <c r="H21" s="376" t="s">
        <v>2</v>
      </c>
      <c r="I21" s="376"/>
      <c r="J21" s="376" t="s">
        <v>178</v>
      </c>
      <c r="K21" s="376"/>
      <c r="L21" s="376" t="s">
        <v>2</v>
      </c>
      <c r="M21" s="376"/>
      <c r="N21" s="376" t="s">
        <v>178</v>
      </c>
      <c r="O21" s="376"/>
      <c r="P21" s="376" t="s">
        <v>2</v>
      </c>
      <c r="Q21" s="376"/>
      <c r="R21" s="376" t="s">
        <v>178</v>
      </c>
      <c r="S21" s="376"/>
      <c r="T21" s="376" t="s">
        <v>2</v>
      </c>
      <c r="U21" s="376"/>
      <c r="V21" s="376" t="s">
        <v>178</v>
      </c>
      <c r="W21" s="376"/>
      <c r="X21" s="376" t="s">
        <v>2</v>
      </c>
      <c r="Y21" s="376"/>
      <c r="Z21" s="376" t="s">
        <v>178</v>
      </c>
      <c r="AA21" s="376"/>
      <c r="AB21" s="375"/>
      <c r="AC21" s="375"/>
    </row>
    <row r="22" spans="1:32" ht="89.25" customHeight="1" x14ac:dyDescent="0.25">
      <c r="A22" s="383"/>
      <c r="B22" s="383"/>
      <c r="C22" s="48" t="s">
        <v>2</v>
      </c>
      <c r="D22" s="48" t="s">
        <v>178</v>
      </c>
      <c r="E22" s="48" t="s">
        <v>607</v>
      </c>
      <c r="F22" s="48" t="s">
        <v>607</v>
      </c>
      <c r="G22" s="383"/>
      <c r="H22" s="281" t="s">
        <v>373</v>
      </c>
      <c r="I22" s="281" t="s">
        <v>374</v>
      </c>
      <c r="J22" s="281" t="s">
        <v>373</v>
      </c>
      <c r="K22" s="281" t="s">
        <v>374</v>
      </c>
      <c r="L22" s="281" t="s">
        <v>373</v>
      </c>
      <c r="M22" s="281" t="s">
        <v>374</v>
      </c>
      <c r="N22" s="281" t="s">
        <v>373</v>
      </c>
      <c r="O22" s="281" t="s">
        <v>374</v>
      </c>
      <c r="P22" s="281" t="s">
        <v>373</v>
      </c>
      <c r="Q22" s="281" t="s">
        <v>374</v>
      </c>
      <c r="R22" s="281" t="s">
        <v>373</v>
      </c>
      <c r="S22" s="281" t="s">
        <v>374</v>
      </c>
      <c r="T22" s="281" t="s">
        <v>373</v>
      </c>
      <c r="U22" s="281" t="s">
        <v>374</v>
      </c>
      <c r="V22" s="281" t="s">
        <v>373</v>
      </c>
      <c r="W22" s="281" t="s">
        <v>374</v>
      </c>
      <c r="X22" s="281" t="s">
        <v>373</v>
      </c>
      <c r="Y22" s="281" t="s">
        <v>374</v>
      </c>
      <c r="Z22" s="281" t="s">
        <v>373</v>
      </c>
      <c r="AA22" s="281" t="s">
        <v>374</v>
      </c>
      <c r="AB22" s="48" t="s">
        <v>582</v>
      </c>
      <c r="AC22" s="48" t="s">
        <v>536</v>
      </c>
    </row>
    <row r="23" spans="1:32" ht="19.5" customHeight="1" x14ac:dyDescent="0.25">
      <c r="A23" s="279">
        <v>1</v>
      </c>
      <c r="B23" s="279">
        <v>2</v>
      </c>
      <c r="C23" s="279">
        <v>3</v>
      </c>
      <c r="D23" s="279">
        <v>4</v>
      </c>
      <c r="E23" s="279">
        <v>5</v>
      </c>
      <c r="F23" s="279">
        <v>6</v>
      </c>
      <c r="G23" s="279">
        <v>7</v>
      </c>
      <c r="H23" s="279">
        <v>8</v>
      </c>
      <c r="I23" s="279">
        <v>9</v>
      </c>
      <c r="J23" s="279">
        <v>10</v>
      </c>
      <c r="K23" s="279">
        <v>11</v>
      </c>
      <c r="L23" s="279">
        <v>12</v>
      </c>
      <c r="M23" s="279">
        <v>13</v>
      </c>
      <c r="N23" s="279">
        <v>14</v>
      </c>
      <c r="O23" s="279">
        <v>15</v>
      </c>
      <c r="P23" s="279">
        <v>16</v>
      </c>
      <c r="Q23" s="279">
        <v>17</v>
      </c>
      <c r="R23" s="279">
        <v>18</v>
      </c>
      <c r="S23" s="279">
        <v>19</v>
      </c>
      <c r="T23" s="279">
        <v>20</v>
      </c>
      <c r="U23" s="279">
        <v>21</v>
      </c>
      <c r="V23" s="279">
        <v>22</v>
      </c>
      <c r="W23" s="279">
        <v>23</v>
      </c>
      <c r="X23" s="279">
        <v>24</v>
      </c>
      <c r="Y23" s="279">
        <v>25</v>
      </c>
      <c r="Z23" s="279">
        <v>26</v>
      </c>
      <c r="AA23" s="279">
        <v>27</v>
      </c>
      <c r="AB23" s="279">
        <v>28</v>
      </c>
      <c r="AC23" s="279">
        <v>29</v>
      </c>
    </row>
    <row r="24" spans="1:32" ht="47.25" customHeight="1" x14ac:dyDescent="0.25">
      <c r="A24" s="41">
        <v>1</v>
      </c>
      <c r="B24" s="25" t="s">
        <v>177</v>
      </c>
      <c r="C24" s="419">
        <f>C30*1.2</f>
        <v>88.959179651487531</v>
      </c>
      <c r="D24" s="419">
        <v>88.959179651487531</v>
      </c>
      <c r="E24" s="419">
        <v>30.893386394615995</v>
      </c>
      <c r="F24" s="419">
        <v>30.893386394615995</v>
      </c>
      <c r="G24" s="419">
        <v>30.893386394615995</v>
      </c>
      <c r="H24" s="419">
        <v>0</v>
      </c>
      <c r="I24" s="419">
        <f>SUM(I25:I29)</f>
        <v>0</v>
      </c>
      <c r="J24" s="419" t="s">
        <v>537</v>
      </c>
      <c r="K24" s="419" t="s">
        <v>537</v>
      </c>
      <c r="L24" s="419">
        <v>0</v>
      </c>
      <c r="M24" s="419">
        <v>0</v>
      </c>
      <c r="N24" s="419" t="s">
        <v>537</v>
      </c>
      <c r="O24" s="419" t="s">
        <v>537</v>
      </c>
      <c r="P24" s="419">
        <v>0</v>
      </c>
      <c r="Q24" s="419">
        <v>0</v>
      </c>
      <c r="R24" s="419" t="s">
        <v>537</v>
      </c>
      <c r="S24" s="419" t="s">
        <v>537</v>
      </c>
      <c r="T24" s="419">
        <v>0</v>
      </c>
      <c r="U24" s="419">
        <v>0</v>
      </c>
      <c r="V24" s="419" t="s">
        <v>537</v>
      </c>
      <c r="W24" s="419" t="s">
        <v>537</v>
      </c>
      <c r="X24" s="419">
        <v>0</v>
      </c>
      <c r="Y24" s="419">
        <v>0</v>
      </c>
      <c r="Z24" s="419" t="s">
        <v>537</v>
      </c>
      <c r="AA24" s="419" t="s">
        <v>537</v>
      </c>
      <c r="AB24" s="419">
        <v>0</v>
      </c>
      <c r="AC24" s="419" t="s">
        <v>537</v>
      </c>
    </row>
    <row r="25" spans="1:32" ht="24" customHeight="1" x14ac:dyDescent="0.25">
      <c r="A25" s="41" t="s">
        <v>176</v>
      </c>
      <c r="B25" s="25" t="s">
        <v>175</v>
      </c>
      <c r="C25" s="419">
        <v>0</v>
      </c>
      <c r="D25" s="419">
        <v>0</v>
      </c>
      <c r="E25" s="419">
        <v>0</v>
      </c>
      <c r="F25" s="419">
        <v>0</v>
      </c>
      <c r="G25" s="419">
        <v>0</v>
      </c>
      <c r="H25" s="419">
        <f>C25</f>
        <v>0</v>
      </c>
      <c r="I25" s="419">
        <v>0</v>
      </c>
      <c r="J25" s="419" t="s">
        <v>537</v>
      </c>
      <c r="K25" s="419" t="s">
        <v>537</v>
      </c>
      <c r="L25" s="419">
        <v>0</v>
      </c>
      <c r="M25" s="419">
        <v>0</v>
      </c>
      <c r="N25" s="419" t="s">
        <v>537</v>
      </c>
      <c r="O25" s="419" t="s">
        <v>537</v>
      </c>
      <c r="P25" s="419">
        <v>0</v>
      </c>
      <c r="Q25" s="419">
        <v>0</v>
      </c>
      <c r="R25" s="419" t="s">
        <v>537</v>
      </c>
      <c r="S25" s="419" t="s">
        <v>537</v>
      </c>
      <c r="T25" s="419">
        <v>0</v>
      </c>
      <c r="U25" s="419">
        <v>0</v>
      </c>
      <c r="V25" s="419" t="s">
        <v>537</v>
      </c>
      <c r="W25" s="419" t="s">
        <v>537</v>
      </c>
      <c r="X25" s="419">
        <v>0</v>
      </c>
      <c r="Y25" s="419">
        <v>0</v>
      </c>
      <c r="Z25" s="419" t="s">
        <v>537</v>
      </c>
      <c r="AA25" s="419" t="s">
        <v>537</v>
      </c>
      <c r="AB25" s="419">
        <v>0</v>
      </c>
      <c r="AC25" s="419" t="s">
        <v>537</v>
      </c>
    </row>
    <row r="26" spans="1:32" x14ac:dyDescent="0.25">
      <c r="A26" s="41" t="s">
        <v>174</v>
      </c>
      <c r="B26" s="25" t="s">
        <v>173</v>
      </c>
      <c r="C26" s="419">
        <v>0</v>
      </c>
      <c r="D26" s="419">
        <v>0</v>
      </c>
      <c r="E26" s="419">
        <v>0</v>
      </c>
      <c r="F26" s="419">
        <v>0</v>
      </c>
      <c r="G26" s="419">
        <v>0</v>
      </c>
      <c r="H26" s="419">
        <f>C26</f>
        <v>0</v>
      </c>
      <c r="I26" s="419">
        <v>0</v>
      </c>
      <c r="J26" s="419" t="s">
        <v>537</v>
      </c>
      <c r="K26" s="419" t="s">
        <v>537</v>
      </c>
      <c r="L26" s="419">
        <v>0</v>
      </c>
      <c r="M26" s="419">
        <v>0</v>
      </c>
      <c r="N26" s="419" t="s">
        <v>537</v>
      </c>
      <c r="O26" s="419" t="s">
        <v>537</v>
      </c>
      <c r="P26" s="419">
        <v>0</v>
      </c>
      <c r="Q26" s="419">
        <v>0</v>
      </c>
      <c r="R26" s="419" t="s">
        <v>537</v>
      </c>
      <c r="S26" s="419" t="s">
        <v>537</v>
      </c>
      <c r="T26" s="419">
        <v>0</v>
      </c>
      <c r="U26" s="419">
        <v>0</v>
      </c>
      <c r="V26" s="419" t="s">
        <v>537</v>
      </c>
      <c r="W26" s="419" t="s">
        <v>537</v>
      </c>
      <c r="X26" s="419">
        <v>0</v>
      </c>
      <c r="Y26" s="419">
        <v>0</v>
      </c>
      <c r="Z26" s="419" t="s">
        <v>537</v>
      </c>
      <c r="AA26" s="419" t="s">
        <v>537</v>
      </c>
      <c r="AB26" s="419">
        <v>0</v>
      </c>
      <c r="AC26" s="419" t="s">
        <v>537</v>
      </c>
    </row>
    <row r="27" spans="1:32" ht="31.5" x14ac:dyDescent="0.25">
      <c r="A27" s="41" t="s">
        <v>172</v>
      </c>
      <c r="B27" s="25" t="s">
        <v>355</v>
      </c>
      <c r="C27" s="419">
        <f>C24</f>
        <v>88.959179651487531</v>
      </c>
      <c r="D27" s="419">
        <v>88.959179651487531</v>
      </c>
      <c r="E27" s="419">
        <v>30.893386394615995</v>
      </c>
      <c r="F27" s="419">
        <v>30.893386394615995</v>
      </c>
      <c r="G27" s="419">
        <v>30.893386394615995</v>
      </c>
      <c r="H27" s="419">
        <v>0</v>
      </c>
      <c r="I27" s="419">
        <v>0</v>
      </c>
      <c r="J27" s="419" t="s">
        <v>537</v>
      </c>
      <c r="K27" s="419" t="s">
        <v>537</v>
      </c>
      <c r="L27" s="419">
        <v>0</v>
      </c>
      <c r="M27" s="419">
        <v>0</v>
      </c>
      <c r="N27" s="419" t="s">
        <v>537</v>
      </c>
      <c r="O27" s="419" t="s">
        <v>537</v>
      </c>
      <c r="P27" s="419">
        <v>0</v>
      </c>
      <c r="Q27" s="419">
        <v>0</v>
      </c>
      <c r="R27" s="419" t="s">
        <v>537</v>
      </c>
      <c r="S27" s="419" t="s">
        <v>537</v>
      </c>
      <c r="T27" s="419">
        <v>0</v>
      </c>
      <c r="U27" s="419">
        <v>0</v>
      </c>
      <c r="V27" s="419" t="s">
        <v>537</v>
      </c>
      <c r="W27" s="419" t="s">
        <v>537</v>
      </c>
      <c r="X27" s="419">
        <v>0</v>
      </c>
      <c r="Y27" s="419">
        <v>0</v>
      </c>
      <c r="Z27" s="419" t="s">
        <v>537</v>
      </c>
      <c r="AA27" s="419" t="s">
        <v>537</v>
      </c>
      <c r="AB27" s="419">
        <v>0</v>
      </c>
      <c r="AC27" s="419" t="s">
        <v>537</v>
      </c>
    </row>
    <row r="28" spans="1:32" x14ac:dyDescent="0.25">
      <c r="A28" s="41" t="s">
        <v>171</v>
      </c>
      <c r="B28" s="25" t="s">
        <v>538</v>
      </c>
      <c r="C28" s="419">
        <v>0</v>
      </c>
      <c r="D28" s="419">
        <v>0</v>
      </c>
      <c r="E28" s="419">
        <v>0</v>
      </c>
      <c r="F28" s="419">
        <v>0</v>
      </c>
      <c r="G28" s="419">
        <v>0</v>
      </c>
      <c r="H28" s="419">
        <v>0</v>
      </c>
      <c r="I28" s="419">
        <v>0</v>
      </c>
      <c r="J28" s="419" t="s">
        <v>537</v>
      </c>
      <c r="K28" s="419" t="s">
        <v>537</v>
      </c>
      <c r="L28" s="419">
        <v>0</v>
      </c>
      <c r="M28" s="419">
        <v>0</v>
      </c>
      <c r="N28" s="419" t="s">
        <v>537</v>
      </c>
      <c r="O28" s="419" t="s">
        <v>537</v>
      </c>
      <c r="P28" s="419">
        <v>0</v>
      </c>
      <c r="Q28" s="419">
        <v>0</v>
      </c>
      <c r="R28" s="419" t="s">
        <v>537</v>
      </c>
      <c r="S28" s="419" t="s">
        <v>537</v>
      </c>
      <c r="T28" s="419">
        <v>0</v>
      </c>
      <c r="U28" s="419">
        <v>0</v>
      </c>
      <c r="V28" s="419" t="s">
        <v>537</v>
      </c>
      <c r="W28" s="419" t="s">
        <v>537</v>
      </c>
      <c r="X28" s="419">
        <v>0</v>
      </c>
      <c r="Y28" s="419">
        <v>0</v>
      </c>
      <c r="Z28" s="419" t="s">
        <v>537</v>
      </c>
      <c r="AA28" s="419" t="s">
        <v>537</v>
      </c>
      <c r="AB28" s="419">
        <v>0</v>
      </c>
      <c r="AC28" s="419" t="s">
        <v>537</v>
      </c>
    </row>
    <row r="29" spans="1:32" x14ac:dyDescent="0.25">
      <c r="A29" s="41" t="s">
        <v>169</v>
      </c>
      <c r="B29" s="45" t="s">
        <v>168</v>
      </c>
      <c r="C29" s="419">
        <v>0</v>
      </c>
      <c r="D29" s="419">
        <v>0</v>
      </c>
      <c r="E29" s="419">
        <v>0</v>
      </c>
      <c r="F29" s="419">
        <v>0</v>
      </c>
      <c r="G29" s="419">
        <v>0</v>
      </c>
      <c r="H29" s="419">
        <f>'6.2. Паспорт фин осв ввод факт'!T29</f>
        <v>0</v>
      </c>
      <c r="I29" s="419">
        <v>0</v>
      </c>
      <c r="J29" s="419" t="s">
        <v>537</v>
      </c>
      <c r="K29" s="419" t="s">
        <v>537</v>
      </c>
      <c r="L29" s="419">
        <v>0</v>
      </c>
      <c r="M29" s="419">
        <v>0</v>
      </c>
      <c r="N29" s="419" t="s">
        <v>537</v>
      </c>
      <c r="O29" s="419" t="s">
        <v>537</v>
      </c>
      <c r="P29" s="419">
        <v>0</v>
      </c>
      <c r="Q29" s="419">
        <v>0</v>
      </c>
      <c r="R29" s="419" t="s">
        <v>537</v>
      </c>
      <c r="S29" s="419" t="s">
        <v>537</v>
      </c>
      <c r="T29" s="419">
        <v>0</v>
      </c>
      <c r="U29" s="419">
        <v>0</v>
      </c>
      <c r="V29" s="419" t="s">
        <v>537</v>
      </c>
      <c r="W29" s="419" t="s">
        <v>537</v>
      </c>
      <c r="X29" s="419">
        <v>0</v>
      </c>
      <c r="Y29" s="419">
        <v>0</v>
      </c>
      <c r="Z29" s="419" t="s">
        <v>537</v>
      </c>
      <c r="AA29" s="419" t="s">
        <v>537</v>
      </c>
      <c r="AB29" s="419">
        <v>0</v>
      </c>
      <c r="AC29" s="419" t="s">
        <v>537</v>
      </c>
    </row>
    <row r="30" spans="1:32" ht="47.25" x14ac:dyDescent="0.25">
      <c r="A30" s="41" t="s">
        <v>61</v>
      </c>
      <c r="B30" s="25" t="s">
        <v>167</v>
      </c>
      <c r="C30" s="419">
        <f>SUM(C31:C34)</f>
        <v>74.132649709572945</v>
      </c>
      <c r="D30" s="419">
        <v>74.132649709572945</v>
      </c>
      <c r="E30" s="419">
        <v>25.9807001455133</v>
      </c>
      <c r="F30" s="419">
        <v>25.9807001455133</v>
      </c>
      <c r="G30" s="419">
        <v>25.736988812179998</v>
      </c>
      <c r="H30" s="419">
        <f>H24/1.2</f>
        <v>0</v>
      </c>
      <c r="I30" s="419">
        <v>0</v>
      </c>
      <c r="J30" s="419" t="s">
        <v>537</v>
      </c>
      <c r="K30" s="419" t="s">
        <v>537</v>
      </c>
      <c r="L30" s="419">
        <v>0</v>
      </c>
      <c r="M30" s="419">
        <v>0</v>
      </c>
      <c r="N30" s="419" t="s">
        <v>537</v>
      </c>
      <c r="O30" s="419" t="s">
        <v>537</v>
      </c>
      <c r="P30" s="419">
        <v>0</v>
      </c>
      <c r="Q30" s="419">
        <v>0</v>
      </c>
      <c r="R30" s="419" t="s">
        <v>537</v>
      </c>
      <c r="S30" s="419" t="s">
        <v>537</v>
      </c>
      <c r="T30" s="419">
        <v>0</v>
      </c>
      <c r="U30" s="419">
        <v>0</v>
      </c>
      <c r="V30" s="419" t="s">
        <v>537</v>
      </c>
      <c r="W30" s="419" t="s">
        <v>537</v>
      </c>
      <c r="X30" s="419">
        <v>0</v>
      </c>
      <c r="Y30" s="419">
        <v>0</v>
      </c>
      <c r="Z30" s="419" t="s">
        <v>537</v>
      </c>
      <c r="AA30" s="419" t="s">
        <v>537</v>
      </c>
      <c r="AB30" s="419">
        <v>0</v>
      </c>
      <c r="AC30" s="419" t="s">
        <v>537</v>
      </c>
    </row>
    <row r="31" spans="1:32" x14ac:dyDescent="0.25">
      <c r="A31" s="41" t="s">
        <v>166</v>
      </c>
      <c r="B31" s="25" t="s">
        <v>165</v>
      </c>
      <c r="C31" s="419">
        <v>3.0286441629251764</v>
      </c>
      <c r="D31" s="419">
        <v>3.0286441629251764</v>
      </c>
      <c r="E31" s="419">
        <v>0.8</v>
      </c>
      <c r="F31" s="419">
        <v>0.8</v>
      </c>
      <c r="G31" s="419">
        <v>0.79999999999999627</v>
      </c>
      <c r="H31" s="419">
        <v>0</v>
      </c>
      <c r="I31" s="419">
        <v>0</v>
      </c>
      <c r="J31" s="419" t="s">
        <v>537</v>
      </c>
      <c r="K31" s="419" t="s">
        <v>537</v>
      </c>
      <c r="L31" s="419">
        <v>0</v>
      </c>
      <c r="M31" s="419">
        <v>0</v>
      </c>
      <c r="N31" s="419" t="s">
        <v>537</v>
      </c>
      <c r="O31" s="419" t="s">
        <v>537</v>
      </c>
      <c r="P31" s="419">
        <v>0</v>
      </c>
      <c r="Q31" s="419">
        <v>0</v>
      </c>
      <c r="R31" s="419" t="s">
        <v>537</v>
      </c>
      <c r="S31" s="419" t="s">
        <v>537</v>
      </c>
      <c r="T31" s="419">
        <v>0</v>
      </c>
      <c r="U31" s="419">
        <v>0</v>
      </c>
      <c r="V31" s="419" t="s">
        <v>537</v>
      </c>
      <c r="W31" s="419" t="s">
        <v>537</v>
      </c>
      <c r="X31" s="419">
        <v>0</v>
      </c>
      <c r="Y31" s="419">
        <v>0</v>
      </c>
      <c r="Z31" s="419" t="s">
        <v>537</v>
      </c>
      <c r="AA31" s="419" t="s">
        <v>537</v>
      </c>
      <c r="AB31" s="419">
        <v>0</v>
      </c>
      <c r="AC31" s="419" t="s">
        <v>537</v>
      </c>
    </row>
    <row r="32" spans="1:32" ht="31.5" x14ac:dyDescent="0.25">
      <c r="A32" s="41" t="s">
        <v>164</v>
      </c>
      <c r="B32" s="25" t="s">
        <v>163</v>
      </c>
      <c r="C32" s="419">
        <v>21.208288582849054</v>
      </c>
      <c r="D32" s="419">
        <v>21.208288582849054</v>
      </c>
      <c r="E32" s="419">
        <v>8.4230056854561077</v>
      </c>
      <c r="F32" s="419">
        <v>8.4230056854561077</v>
      </c>
      <c r="G32" s="419">
        <v>8.1792943521228203</v>
      </c>
      <c r="H32" s="419">
        <v>0</v>
      </c>
      <c r="I32" s="419">
        <v>0</v>
      </c>
      <c r="J32" s="419" t="s">
        <v>537</v>
      </c>
      <c r="K32" s="419" t="s">
        <v>537</v>
      </c>
      <c r="L32" s="419">
        <v>0</v>
      </c>
      <c r="M32" s="419">
        <v>0</v>
      </c>
      <c r="N32" s="419" t="s">
        <v>537</v>
      </c>
      <c r="O32" s="419" t="s">
        <v>537</v>
      </c>
      <c r="P32" s="419">
        <v>0</v>
      </c>
      <c r="Q32" s="419">
        <v>0</v>
      </c>
      <c r="R32" s="419" t="s">
        <v>537</v>
      </c>
      <c r="S32" s="419" t="s">
        <v>537</v>
      </c>
      <c r="T32" s="419">
        <v>0</v>
      </c>
      <c r="U32" s="419">
        <v>0</v>
      </c>
      <c r="V32" s="419" t="s">
        <v>537</v>
      </c>
      <c r="W32" s="419" t="s">
        <v>537</v>
      </c>
      <c r="X32" s="419">
        <v>0</v>
      </c>
      <c r="Y32" s="419">
        <v>0</v>
      </c>
      <c r="Z32" s="419" t="s">
        <v>537</v>
      </c>
      <c r="AA32" s="419" t="s">
        <v>537</v>
      </c>
      <c r="AB32" s="419">
        <v>0</v>
      </c>
      <c r="AC32" s="419" t="s">
        <v>537</v>
      </c>
    </row>
    <row r="33" spans="1:29" x14ac:dyDescent="0.25">
      <c r="A33" s="41" t="s">
        <v>162</v>
      </c>
      <c r="B33" s="25" t="s">
        <v>161</v>
      </c>
      <c r="C33" s="419">
        <v>49.87535156864579</v>
      </c>
      <c r="D33" s="419">
        <v>49.87535156864579</v>
      </c>
      <c r="E33" s="419">
        <v>16.737329064904266</v>
      </c>
      <c r="F33" s="419">
        <v>16.737329064904266</v>
      </c>
      <c r="G33" s="419">
        <v>16.737329064904259</v>
      </c>
      <c r="H33" s="419">
        <v>0</v>
      </c>
      <c r="I33" s="419">
        <v>0</v>
      </c>
      <c r="J33" s="419" t="s">
        <v>537</v>
      </c>
      <c r="K33" s="419" t="s">
        <v>537</v>
      </c>
      <c r="L33" s="419">
        <v>0</v>
      </c>
      <c r="M33" s="419">
        <v>0</v>
      </c>
      <c r="N33" s="419" t="s">
        <v>537</v>
      </c>
      <c r="O33" s="419" t="s">
        <v>537</v>
      </c>
      <c r="P33" s="419">
        <v>0</v>
      </c>
      <c r="Q33" s="419">
        <v>0</v>
      </c>
      <c r="R33" s="419" t="s">
        <v>537</v>
      </c>
      <c r="S33" s="419" t="s">
        <v>537</v>
      </c>
      <c r="T33" s="419">
        <v>0</v>
      </c>
      <c r="U33" s="419">
        <v>0</v>
      </c>
      <c r="V33" s="419" t="s">
        <v>537</v>
      </c>
      <c r="W33" s="419" t="s">
        <v>537</v>
      </c>
      <c r="X33" s="419">
        <v>0</v>
      </c>
      <c r="Y33" s="419">
        <v>0</v>
      </c>
      <c r="Z33" s="419" t="s">
        <v>537</v>
      </c>
      <c r="AA33" s="419" t="s">
        <v>537</v>
      </c>
      <c r="AB33" s="419">
        <v>0</v>
      </c>
      <c r="AC33" s="419" t="s">
        <v>537</v>
      </c>
    </row>
    <row r="34" spans="1:29" x14ac:dyDescent="0.25">
      <c r="A34" s="41" t="s">
        <v>160</v>
      </c>
      <c r="B34" s="25" t="s">
        <v>159</v>
      </c>
      <c r="C34" s="419">
        <v>2.036539515292627E-2</v>
      </c>
      <c r="D34" s="419">
        <v>2.036539515292627E-2</v>
      </c>
      <c r="E34" s="419">
        <v>2.036539515292627E-2</v>
      </c>
      <c r="F34" s="419">
        <v>2.036539515292627E-2</v>
      </c>
      <c r="G34" s="419">
        <v>2.036539515292627E-2</v>
      </c>
      <c r="H34" s="419">
        <f>'6.2. Паспорт фин осв ввод факт'!T34</f>
        <v>0</v>
      </c>
      <c r="I34" s="419">
        <v>0</v>
      </c>
      <c r="J34" s="419" t="s">
        <v>537</v>
      </c>
      <c r="K34" s="419" t="s">
        <v>537</v>
      </c>
      <c r="L34" s="419">
        <v>0</v>
      </c>
      <c r="M34" s="419">
        <v>0</v>
      </c>
      <c r="N34" s="419" t="s">
        <v>537</v>
      </c>
      <c r="O34" s="419" t="s">
        <v>537</v>
      </c>
      <c r="P34" s="419">
        <v>0</v>
      </c>
      <c r="Q34" s="419">
        <v>0</v>
      </c>
      <c r="R34" s="419" t="s">
        <v>537</v>
      </c>
      <c r="S34" s="419" t="s">
        <v>537</v>
      </c>
      <c r="T34" s="419">
        <v>0</v>
      </c>
      <c r="U34" s="419">
        <v>0</v>
      </c>
      <c r="V34" s="419" t="s">
        <v>537</v>
      </c>
      <c r="W34" s="419" t="s">
        <v>537</v>
      </c>
      <c r="X34" s="419">
        <v>0</v>
      </c>
      <c r="Y34" s="419">
        <v>0</v>
      </c>
      <c r="Z34" s="419" t="s">
        <v>537</v>
      </c>
      <c r="AA34" s="419" t="s">
        <v>537</v>
      </c>
      <c r="AB34" s="419">
        <v>0</v>
      </c>
      <c r="AC34" s="419" t="s">
        <v>537</v>
      </c>
    </row>
    <row r="35" spans="1:29" ht="31.5" x14ac:dyDescent="0.25">
      <c r="A35" s="41" t="s">
        <v>60</v>
      </c>
      <c r="B35" s="25" t="s">
        <v>158</v>
      </c>
      <c r="C35" s="419">
        <f>'6.2. Паспорт фин осв ввод факт'!C35</f>
        <v>0</v>
      </c>
      <c r="D35" s="419">
        <v>0</v>
      </c>
      <c r="E35" s="419">
        <v>0</v>
      </c>
      <c r="F35" s="419">
        <v>0</v>
      </c>
      <c r="G35" s="419">
        <v>0</v>
      </c>
      <c r="H35" s="419">
        <f>'6.2. Паспорт фин осв ввод факт'!T35</f>
        <v>0</v>
      </c>
      <c r="I35" s="419">
        <v>0</v>
      </c>
      <c r="J35" s="419" t="s">
        <v>537</v>
      </c>
      <c r="K35" s="419" t="s">
        <v>537</v>
      </c>
      <c r="L35" s="419">
        <v>0</v>
      </c>
      <c r="M35" s="419">
        <v>0</v>
      </c>
      <c r="N35" s="419" t="s">
        <v>537</v>
      </c>
      <c r="O35" s="419" t="s">
        <v>537</v>
      </c>
      <c r="P35" s="419">
        <v>0</v>
      </c>
      <c r="Q35" s="419">
        <v>0</v>
      </c>
      <c r="R35" s="419" t="s">
        <v>537</v>
      </c>
      <c r="S35" s="419" t="s">
        <v>537</v>
      </c>
      <c r="T35" s="419">
        <v>0</v>
      </c>
      <c r="U35" s="419">
        <v>0</v>
      </c>
      <c r="V35" s="419" t="s">
        <v>537</v>
      </c>
      <c r="W35" s="419" t="s">
        <v>537</v>
      </c>
      <c r="X35" s="419">
        <v>0</v>
      </c>
      <c r="Y35" s="419">
        <v>0</v>
      </c>
      <c r="Z35" s="419" t="s">
        <v>537</v>
      </c>
      <c r="AA35" s="419" t="s">
        <v>537</v>
      </c>
      <c r="AB35" s="419">
        <v>0</v>
      </c>
      <c r="AC35" s="419" t="s">
        <v>537</v>
      </c>
    </row>
    <row r="36" spans="1:29" ht="31.5" x14ac:dyDescent="0.25">
      <c r="A36" s="41" t="s">
        <v>157</v>
      </c>
      <c r="B36" s="168" t="s">
        <v>156</v>
      </c>
      <c r="C36" s="419">
        <f>'6.2. Паспорт фин осв ввод факт'!C36</f>
        <v>0</v>
      </c>
      <c r="D36" s="419">
        <v>0</v>
      </c>
      <c r="E36" s="419">
        <v>0</v>
      </c>
      <c r="F36" s="419">
        <v>0</v>
      </c>
      <c r="G36" s="419">
        <v>0</v>
      </c>
      <c r="H36" s="419">
        <f>'6.2. Паспорт фин осв ввод факт'!T36</f>
        <v>0</v>
      </c>
      <c r="I36" s="419">
        <v>0</v>
      </c>
      <c r="J36" s="419" t="s">
        <v>537</v>
      </c>
      <c r="K36" s="419" t="s">
        <v>537</v>
      </c>
      <c r="L36" s="419">
        <v>0</v>
      </c>
      <c r="M36" s="419">
        <v>0</v>
      </c>
      <c r="N36" s="419" t="s">
        <v>537</v>
      </c>
      <c r="O36" s="419" t="s">
        <v>537</v>
      </c>
      <c r="P36" s="419">
        <v>0</v>
      </c>
      <c r="Q36" s="419">
        <v>0</v>
      </c>
      <c r="R36" s="419" t="s">
        <v>537</v>
      </c>
      <c r="S36" s="419" t="s">
        <v>537</v>
      </c>
      <c r="T36" s="419">
        <v>0</v>
      </c>
      <c r="U36" s="419">
        <v>0</v>
      </c>
      <c r="V36" s="419" t="s">
        <v>537</v>
      </c>
      <c r="W36" s="419" t="s">
        <v>537</v>
      </c>
      <c r="X36" s="419">
        <v>0</v>
      </c>
      <c r="Y36" s="419">
        <v>0</v>
      </c>
      <c r="Z36" s="419" t="s">
        <v>537</v>
      </c>
      <c r="AA36" s="419" t="s">
        <v>537</v>
      </c>
      <c r="AB36" s="419">
        <v>0</v>
      </c>
      <c r="AC36" s="419" t="s">
        <v>537</v>
      </c>
    </row>
    <row r="37" spans="1:29" x14ac:dyDescent="0.25">
      <c r="A37" s="41" t="s">
        <v>155</v>
      </c>
      <c r="B37" s="168" t="s">
        <v>145</v>
      </c>
      <c r="C37" s="419">
        <v>0.1</v>
      </c>
      <c r="D37" s="419">
        <v>0.1</v>
      </c>
      <c r="E37" s="419">
        <v>0.1</v>
      </c>
      <c r="F37" s="419">
        <v>0.1</v>
      </c>
      <c r="G37" s="419">
        <v>0.1</v>
      </c>
      <c r="H37" s="419">
        <f>'6.2. Паспорт фин осв ввод факт'!T37</f>
        <v>0</v>
      </c>
      <c r="I37" s="419">
        <v>0</v>
      </c>
      <c r="J37" s="419" t="s">
        <v>537</v>
      </c>
      <c r="K37" s="419" t="s">
        <v>537</v>
      </c>
      <c r="L37" s="419">
        <v>0</v>
      </c>
      <c r="M37" s="419">
        <v>0</v>
      </c>
      <c r="N37" s="419" t="s">
        <v>537</v>
      </c>
      <c r="O37" s="419" t="s">
        <v>537</v>
      </c>
      <c r="P37" s="419">
        <v>0</v>
      </c>
      <c r="Q37" s="419">
        <v>0</v>
      </c>
      <c r="R37" s="419" t="s">
        <v>537</v>
      </c>
      <c r="S37" s="419" t="s">
        <v>537</v>
      </c>
      <c r="T37" s="419">
        <v>0</v>
      </c>
      <c r="U37" s="419">
        <v>0</v>
      </c>
      <c r="V37" s="419" t="s">
        <v>537</v>
      </c>
      <c r="W37" s="419" t="s">
        <v>537</v>
      </c>
      <c r="X37" s="419">
        <v>0</v>
      </c>
      <c r="Y37" s="419">
        <v>0</v>
      </c>
      <c r="Z37" s="419" t="s">
        <v>537</v>
      </c>
      <c r="AA37" s="419" t="s">
        <v>537</v>
      </c>
      <c r="AB37" s="419">
        <v>0</v>
      </c>
      <c r="AC37" s="419" t="s">
        <v>537</v>
      </c>
    </row>
    <row r="38" spans="1:29" x14ac:dyDescent="0.25">
      <c r="A38" s="41" t="s">
        <v>154</v>
      </c>
      <c r="B38" s="168" t="s">
        <v>143</v>
      </c>
      <c r="C38" s="419">
        <f>'6.2. Паспорт фин осв ввод факт'!C38</f>
        <v>0</v>
      </c>
      <c r="D38" s="419">
        <v>0</v>
      </c>
      <c r="E38" s="419">
        <v>0</v>
      </c>
      <c r="F38" s="419">
        <v>0</v>
      </c>
      <c r="G38" s="419">
        <v>0</v>
      </c>
      <c r="H38" s="419">
        <f>'6.2. Паспорт фин осв ввод факт'!T38</f>
        <v>0</v>
      </c>
      <c r="I38" s="419">
        <v>0</v>
      </c>
      <c r="J38" s="419" t="s">
        <v>537</v>
      </c>
      <c r="K38" s="419" t="s">
        <v>537</v>
      </c>
      <c r="L38" s="419">
        <v>0</v>
      </c>
      <c r="M38" s="419">
        <v>0</v>
      </c>
      <c r="N38" s="419" t="s">
        <v>537</v>
      </c>
      <c r="O38" s="419" t="s">
        <v>537</v>
      </c>
      <c r="P38" s="419">
        <v>0</v>
      </c>
      <c r="Q38" s="419">
        <v>0</v>
      </c>
      <c r="R38" s="419" t="s">
        <v>537</v>
      </c>
      <c r="S38" s="419" t="s">
        <v>537</v>
      </c>
      <c r="T38" s="419">
        <v>0</v>
      </c>
      <c r="U38" s="419">
        <v>0</v>
      </c>
      <c r="V38" s="419" t="s">
        <v>537</v>
      </c>
      <c r="W38" s="419" t="s">
        <v>537</v>
      </c>
      <c r="X38" s="419">
        <v>0</v>
      </c>
      <c r="Y38" s="419">
        <v>0</v>
      </c>
      <c r="Z38" s="419" t="s">
        <v>537</v>
      </c>
      <c r="AA38" s="419" t="s">
        <v>537</v>
      </c>
      <c r="AB38" s="419">
        <v>0</v>
      </c>
      <c r="AC38" s="419" t="s">
        <v>537</v>
      </c>
    </row>
    <row r="39" spans="1:29" ht="31.5" x14ac:dyDescent="0.25">
      <c r="A39" s="41" t="s">
        <v>153</v>
      </c>
      <c r="B39" s="25" t="s">
        <v>141</v>
      </c>
      <c r="C39" s="419">
        <f>'6.2. Паспорт фин осв ввод факт'!C39</f>
        <v>0</v>
      </c>
      <c r="D39" s="419">
        <v>0</v>
      </c>
      <c r="E39" s="419">
        <v>0</v>
      </c>
      <c r="F39" s="419">
        <v>0</v>
      </c>
      <c r="G39" s="419">
        <v>0</v>
      </c>
      <c r="H39" s="419">
        <f>'6.2. Паспорт фин осв ввод факт'!T39</f>
        <v>0</v>
      </c>
      <c r="I39" s="419">
        <v>0</v>
      </c>
      <c r="J39" s="419" t="s">
        <v>537</v>
      </c>
      <c r="K39" s="419" t="s">
        <v>537</v>
      </c>
      <c r="L39" s="419">
        <v>0</v>
      </c>
      <c r="M39" s="419">
        <v>0</v>
      </c>
      <c r="N39" s="419" t="s">
        <v>537</v>
      </c>
      <c r="O39" s="419" t="s">
        <v>537</v>
      </c>
      <c r="P39" s="419">
        <v>0</v>
      </c>
      <c r="Q39" s="419">
        <v>0</v>
      </c>
      <c r="R39" s="419" t="s">
        <v>537</v>
      </c>
      <c r="S39" s="419" t="s">
        <v>537</v>
      </c>
      <c r="T39" s="419">
        <v>0</v>
      </c>
      <c r="U39" s="419">
        <v>0</v>
      </c>
      <c r="V39" s="419" t="s">
        <v>537</v>
      </c>
      <c r="W39" s="419" t="s">
        <v>537</v>
      </c>
      <c r="X39" s="419">
        <v>0</v>
      </c>
      <c r="Y39" s="419">
        <v>0</v>
      </c>
      <c r="Z39" s="419" t="s">
        <v>537</v>
      </c>
      <c r="AA39" s="419" t="s">
        <v>537</v>
      </c>
      <c r="AB39" s="419">
        <v>0</v>
      </c>
      <c r="AC39" s="419" t="s">
        <v>537</v>
      </c>
    </row>
    <row r="40" spans="1:29" ht="31.5" x14ac:dyDescent="0.25">
      <c r="A40" s="41" t="s">
        <v>152</v>
      </c>
      <c r="B40" s="25" t="s">
        <v>139</v>
      </c>
      <c r="C40" s="419">
        <f>'6.2. Паспорт фин осв ввод факт'!C40</f>
        <v>0</v>
      </c>
      <c r="D40" s="419">
        <v>0</v>
      </c>
      <c r="E40" s="419">
        <v>0</v>
      </c>
      <c r="F40" s="419">
        <v>0</v>
      </c>
      <c r="G40" s="419">
        <v>0</v>
      </c>
      <c r="H40" s="419">
        <f>'6.2. Паспорт фин осв ввод факт'!T40</f>
        <v>0</v>
      </c>
      <c r="I40" s="419">
        <v>0</v>
      </c>
      <c r="J40" s="419" t="s">
        <v>537</v>
      </c>
      <c r="K40" s="419" t="s">
        <v>537</v>
      </c>
      <c r="L40" s="419">
        <v>0</v>
      </c>
      <c r="M40" s="419">
        <v>0</v>
      </c>
      <c r="N40" s="419" t="s">
        <v>537</v>
      </c>
      <c r="O40" s="419" t="s">
        <v>537</v>
      </c>
      <c r="P40" s="419">
        <v>0</v>
      </c>
      <c r="Q40" s="419">
        <v>0</v>
      </c>
      <c r="R40" s="419" t="s">
        <v>537</v>
      </c>
      <c r="S40" s="419" t="s">
        <v>537</v>
      </c>
      <c r="T40" s="419">
        <v>0</v>
      </c>
      <c r="U40" s="419">
        <v>0</v>
      </c>
      <c r="V40" s="419" t="s">
        <v>537</v>
      </c>
      <c r="W40" s="419" t="s">
        <v>537</v>
      </c>
      <c r="X40" s="419">
        <v>0</v>
      </c>
      <c r="Y40" s="419">
        <v>0</v>
      </c>
      <c r="Z40" s="419" t="s">
        <v>537</v>
      </c>
      <c r="AA40" s="419" t="s">
        <v>537</v>
      </c>
      <c r="AB40" s="419">
        <v>0</v>
      </c>
      <c r="AC40" s="419" t="s">
        <v>537</v>
      </c>
    </row>
    <row r="41" spans="1:29" x14ac:dyDescent="0.25">
      <c r="A41" s="41" t="s">
        <v>151</v>
      </c>
      <c r="B41" s="25" t="s">
        <v>137</v>
      </c>
      <c r="C41" s="419">
        <f>'6.2. Паспорт фин осв ввод факт'!C41</f>
        <v>0</v>
      </c>
      <c r="D41" s="419">
        <v>0</v>
      </c>
      <c r="E41" s="419">
        <v>0</v>
      </c>
      <c r="F41" s="419">
        <v>0</v>
      </c>
      <c r="G41" s="419">
        <v>0</v>
      </c>
      <c r="H41" s="419">
        <f>'6.2. Паспорт фин осв ввод факт'!T41</f>
        <v>0</v>
      </c>
      <c r="I41" s="419">
        <v>0</v>
      </c>
      <c r="J41" s="419" t="s">
        <v>537</v>
      </c>
      <c r="K41" s="419" t="s">
        <v>537</v>
      </c>
      <c r="L41" s="419">
        <v>0</v>
      </c>
      <c r="M41" s="419">
        <v>0</v>
      </c>
      <c r="N41" s="419" t="s">
        <v>537</v>
      </c>
      <c r="O41" s="419" t="s">
        <v>537</v>
      </c>
      <c r="P41" s="419">
        <v>0</v>
      </c>
      <c r="Q41" s="419">
        <v>0</v>
      </c>
      <c r="R41" s="419" t="s">
        <v>537</v>
      </c>
      <c r="S41" s="419" t="s">
        <v>537</v>
      </c>
      <c r="T41" s="419">
        <v>0</v>
      </c>
      <c r="U41" s="419">
        <v>0</v>
      </c>
      <c r="V41" s="419" t="s">
        <v>537</v>
      </c>
      <c r="W41" s="419" t="s">
        <v>537</v>
      </c>
      <c r="X41" s="419">
        <v>0</v>
      </c>
      <c r="Y41" s="419">
        <v>0</v>
      </c>
      <c r="Z41" s="419" t="s">
        <v>537</v>
      </c>
      <c r="AA41" s="419" t="s">
        <v>537</v>
      </c>
      <c r="AB41" s="419">
        <v>0</v>
      </c>
      <c r="AC41" s="419" t="s">
        <v>537</v>
      </c>
    </row>
    <row r="42" spans="1:29" ht="18.75" x14ac:dyDescent="0.25">
      <c r="A42" s="41" t="s">
        <v>150</v>
      </c>
      <c r="B42" s="168" t="s">
        <v>546</v>
      </c>
      <c r="C42" s="419">
        <v>24</v>
      </c>
      <c r="D42" s="419">
        <v>24</v>
      </c>
      <c r="E42" s="419">
        <v>24</v>
      </c>
      <c r="F42" s="419">
        <v>24</v>
      </c>
      <c r="G42" s="419">
        <v>24</v>
      </c>
      <c r="H42" s="419">
        <f>'6.2. Паспорт фин осв ввод факт'!T42</f>
        <v>0</v>
      </c>
      <c r="I42" s="419">
        <v>0</v>
      </c>
      <c r="J42" s="419" t="s">
        <v>537</v>
      </c>
      <c r="K42" s="419" t="s">
        <v>537</v>
      </c>
      <c r="L42" s="419">
        <v>0</v>
      </c>
      <c r="M42" s="419">
        <v>0</v>
      </c>
      <c r="N42" s="419" t="s">
        <v>537</v>
      </c>
      <c r="O42" s="419" t="s">
        <v>537</v>
      </c>
      <c r="P42" s="419">
        <v>0</v>
      </c>
      <c r="Q42" s="419">
        <v>0</v>
      </c>
      <c r="R42" s="419" t="s">
        <v>537</v>
      </c>
      <c r="S42" s="419" t="s">
        <v>537</v>
      </c>
      <c r="T42" s="419">
        <v>0</v>
      </c>
      <c r="U42" s="419">
        <v>0</v>
      </c>
      <c r="V42" s="419" t="s">
        <v>537</v>
      </c>
      <c r="W42" s="419" t="s">
        <v>537</v>
      </c>
      <c r="X42" s="419">
        <v>0</v>
      </c>
      <c r="Y42" s="419">
        <v>0</v>
      </c>
      <c r="Z42" s="419" t="s">
        <v>537</v>
      </c>
      <c r="AA42" s="419" t="s">
        <v>537</v>
      </c>
      <c r="AB42" s="419">
        <v>0</v>
      </c>
      <c r="AC42" s="419" t="s">
        <v>537</v>
      </c>
    </row>
    <row r="43" spans="1:29" x14ac:dyDescent="0.25">
      <c r="A43" s="41" t="s">
        <v>59</v>
      </c>
      <c r="B43" s="25" t="s">
        <v>149</v>
      </c>
      <c r="C43" s="419">
        <f>'6.2. Паспорт фин осв ввод факт'!C43</f>
        <v>0</v>
      </c>
      <c r="D43" s="419">
        <v>0</v>
      </c>
      <c r="E43" s="419">
        <v>0</v>
      </c>
      <c r="F43" s="419">
        <v>0</v>
      </c>
      <c r="G43" s="419">
        <v>0</v>
      </c>
      <c r="H43" s="419">
        <f>'6.2. Паспорт фин осв ввод факт'!T43</f>
        <v>0</v>
      </c>
      <c r="I43" s="419">
        <v>0</v>
      </c>
      <c r="J43" s="419" t="s">
        <v>537</v>
      </c>
      <c r="K43" s="419" t="s">
        <v>537</v>
      </c>
      <c r="L43" s="419">
        <v>0</v>
      </c>
      <c r="M43" s="419">
        <v>0</v>
      </c>
      <c r="N43" s="419" t="s">
        <v>537</v>
      </c>
      <c r="O43" s="419" t="s">
        <v>537</v>
      </c>
      <c r="P43" s="419">
        <v>0</v>
      </c>
      <c r="Q43" s="419">
        <v>0</v>
      </c>
      <c r="R43" s="419" t="s">
        <v>537</v>
      </c>
      <c r="S43" s="419" t="s">
        <v>537</v>
      </c>
      <c r="T43" s="419">
        <v>0</v>
      </c>
      <c r="U43" s="419">
        <v>0</v>
      </c>
      <c r="V43" s="419" t="s">
        <v>537</v>
      </c>
      <c r="W43" s="419" t="s">
        <v>537</v>
      </c>
      <c r="X43" s="419">
        <v>0</v>
      </c>
      <c r="Y43" s="419">
        <v>0</v>
      </c>
      <c r="Z43" s="419" t="s">
        <v>537</v>
      </c>
      <c r="AA43" s="419" t="s">
        <v>537</v>
      </c>
      <c r="AB43" s="419">
        <v>0</v>
      </c>
      <c r="AC43" s="419" t="s">
        <v>537</v>
      </c>
    </row>
    <row r="44" spans="1:29" x14ac:dyDescent="0.25">
      <c r="A44" s="41" t="s">
        <v>148</v>
      </c>
      <c r="B44" s="25" t="s">
        <v>147</v>
      </c>
      <c r="C44" s="419">
        <f>'6.2. Паспорт фин осв ввод факт'!C44</f>
        <v>0</v>
      </c>
      <c r="D44" s="419">
        <v>0</v>
      </c>
      <c r="E44" s="419">
        <v>0</v>
      </c>
      <c r="F44" s="419">
        <v>0</v>
      </c>
      <c r="G44" s="419">
        <v>0</v>
      </c>
      <c r="H44" s="419">
        <f>'6.2. Паспорт фин осв ввод факт'!T44</f>
        <v>0</v>
      </c>
      <c r="I44" s="419">
        <v>0</v>
      </c>
      <c r="J44" s="419" t="s">
        <v>537</v>
      </c>
      <c r="K44" s="419" t="s">
        <v>537</v>
      </c>
      <c r="L44" s="419">
        <v>0</v>
      </c>
      <c r="M44" s="419">
        <v>0</v>
      </c>
      <c r="N44" s="419" t="s">
        <v>537</v>
      </c>
      <c r="O44" s="419" t="s">
        <v>537</v>
      </c>
      <c r="P44" s="419">
        <v>0</v>
      </c>
      <c r="Q44" s="419">
        <v>0</v>
      </c>
      <c r="R44" s="419" t="s">
        <v>537</v>
      </c>
      <c r="S44" s="419" t="s">
        <v>537</v>
      </c>
      <c r="T44" s="419">
        <v>0</v>
      </c>
      <c r="U44" s="419">
        <v>0</v>
      </c>
      <c r="V44" s="419" t="s">
        <v>537</v>
      </c>
      <c r="W44" s="419" t="s">
        <v>537</v>
      </c>
      <c r="X44" s="419">
        <v>0</v>
      </c>
      <c r="Y44" s="419">
        <v>0</v>
      </c>
      <c r="Z44" s="419" t="s">
        <v>537</v>
      </c>
      <c r="AA44" s="419" t="s">
        <v>537</v>
      </c>
      <c r="AB44" s="419">
        <v>0</v>
      </c>
      <c r="AC44" s="419" t="s">
        <v>537</v>
      </c>
    </row>
    <row r="45" spans="1:29" x14ac:dyDescent="0.25">
      <c r="A45" s="41" t="s">
        <v>146</v>
      </c>
      <c r="B45" s="25" t="s">
        <v>145</v>
      </c>
      <c r="C45" s="419">
        <v>0.1</v>
      </c>
      <c r="D45" s="419">
        <v>0.1</v>
      </c>
      <c r="E45" s="419">
        <v>0.1</v>
      </c>
      <c r="F45" s="419">
        <v>0.1</v>
      </c>
      <c r="G45" s="419">
        <v>0.1</v>
      </c>
      <c r="H45" s="419">
        <f>'6.2. Паспорт фин осв ввод факт'!T45</f>
        <v>0</v>
      </c>
      <c r="I45" s="419">
        <v>0</v>
      </c>
      <c r="J45" s="419" t="s">
        <v>537</v>
      </c>
      <c r="K45" s="419" t="s">
        <v>537</v>
      </c>
      <c r="L45" s="419">
        <v>0</v>
      </c>
      <c r="M45" s="419">
        <v>0</v>
      </c>
      <c r="N45" s="419" t="s">
        <v>537</v>
      </c>
      <c r="O45" s="419" t="s">
        <v>537</v>
      </c>
      <c r="P45" s="419">
        <v>0</v>
      </c>
      <c r="Q45" s="419">
        <v>0</v>
      </c>
      <c r="R45" s="419" t="s">
        <v>537</v>
      </c>
      <c r="S45" s="419" t="s">
        <v>537</v>
      </c>
      <c r="T45" s="419">
        <v>0</v>
      </c>
      <c r="U45" s="419">
        <v>0</v>
      </c>
      <c r="V45" s="419" t="s">
        <v>537</v>
      </c>
      <c r="W45" s="419" t="s">
        <v>537</v>
      </c>
      <c r="X45" s="419">
        <v>0</v>
      </c>
      <c r="Y45" s="419">
        <v>0</v>
      </c>
      <c r="Z45" s="419" t="s">
        <v>537</v>
      </c>
      <c r="AA45" s="419" t="s">
        <v>537</v>
      </c>
      <c r="AB45" s="419">
        <v>0</v>
      </c>
      <c r="AC45" s="419" t="s">
        <v>537</v>
      </c>
    </row>
    <row r="46" spans="1:29" x14ac:dyDescent="0.25">
      <c r="A46" s="41" t="s">
        <v>144</v>
      </c>
      <c r="B46" s="25" t="s">
        <v>143</v>
      </c>
      <c r="C46" s="419">
        <f>'6.2. Паспорт фин осв ввод факт'!C46</f>
        <v>0</v>
      </c>
      <c r="D46" s="419">
        <v>0</v>
      </c>
      <c r="E46" s="419">
        <v>0</v>
      </c>
      <c r="F46" s="419">
        <v>0</v>
      </c>
      <c r="G46" s="419">
        <v>0</v>
      </c>
      <c r="H46" s="419">
        <f>'6.2. Паспорт фин осв ввод факт'!T46</f>
        <v>0</v>
      </c>
      <c r="I46" s="419">
        <v>0</v>
      </c>
      <c r="J46" s="419" t="s">
        <v>537</v>
      </c>
      <c r="K46" s="419" t="s">
        <v>537</v>
      </c>
      <c r="L46" s="419">
        <v>0</v>
      </c>
      <c r="M46" s="419">
        <v>0</v>
      </c>
      <c r="N46" s="419" t="s">
        <v>537</v>
      </c>
      <c r="O46" s="419" t="s">
        <v>537</v>
      </c>
      <c r="P46" s="419">
        <v>0</v>
      </c>
      <c r="Q46" s="419">
        <v>0</v>
      </c>
      <c r="R46" s="419" t="s">
        <v>537</v>
      </c>
      <c r="S46" s="419" t="s">
        <v>537</v>
      </c>
      <c r="T46" s="419">
        <v>0</v>
      </c>
      <c r="U46" s="419">
        <v>0</v>
      </c>
      <c r="V46" s="419" t="s">
        <v>537</v>
      </c>
      <c r="W46" s="419" t="s">
        <v>537</v>
      </c>
      <c r="X46" s="419">
        <v>0</v>
      </c>
      <c r="Y46" s="419">
        <v>0</v>
      </c>
      <c r="Z46" s="419" t="s">
        <v>537</v>
      </c>
      <c r="AA46" s="419" t="s">
        <v>537</v>
      </c>
      <c r="AB46" s="419">
        <v>0</v>
      </c>
      <c r="AC46" s="419" t="s">
        <v>537</v>
      </c>
    </row>
    <row r="47" spans="1:29" ht="31.5" x14ac:dyDescent="0.25">
      <c r="A47" s="41" t="s">
        <v>142</v>
      </c>
      <c r="B47" s="25" t="s">
        <v>141</v>
      </c>
      <c r="C47" s="419">
        <f>'6.2. Паспорт фин осв ввод факт'!C47</f>
        <v>0</v>
      </c>
      <c r="D47" s="419">
        <v>0</v>
      </c>
      <c r="E47" s="419">
        <v>0</v>
      </c>
      <c r="F47" s="419">
        <v>0</v>
      </c>
      <c r="G47" s="419">
        <v>0</v>
      </c>
      <c r="H47" s="419">
        <f>'6.2. Паспорт фин осв ввод факт'!T47</f>
        <v>0</v>
      </c>
      <c r="I47" s="419">
        <v>0</v>
      </c>
      <c r="J47" s="419" t="s">
        <v>537</v>
      </c>
      <c r="K47" s="419" t="s">
        <v>537</v>
      </c>
      <c r="L47" s="419">
        <v>0</v>
      </c>
      <c r="M47" s="419">
        <v>0</v>
      </c>
      <c r="N47" s="419" t="s">
        <v>537</v>
      </c>
      <c r="O47" s="419" t="s">
        <v>537</v>
      </c>
      <c r="P47" s="419">
        <v>0</v>
      </c>
      <c r="Q47" s="419">
        <v>0</v>
      </c>
      <c r="R47" s="419" t="s">
        <v>537</v>
      </c>
      <c r="S47" s="419" t="s">
        <v>537</v>
      </c>
      <c r="T47" s="419">
        <v>0</v>
      </c>
      <c r="U47" s="419">
        <v>0</v>
      </c>
      <c r="V47" s="419" t="s">
        <v>537</v>
      </c>
      <c r="W47" s="419" t="s">
        <v>537</v>
      </c>
      <c r="X47" s="419">
        <v>0</v>
      </c>
      <c r="Y47" s="419">
        <v>0</v>
      </c>
      <c r="Z47" s="419" t="s">
        <v>537</v>
      </c>
      <c r="AA47" s="419" t="s">
        <v>537</v>
      </c>
      <c r="AB47" s="419">
        <v>0</v>
      </c>
      <c r="AC47" s="419" t="s">
        <v>537</v>
      </c>
    </row>
    <row r="48" spans="1:29" ht="31.5" x14ac:dyDescent="0.25">
      <c r="A48" s="41" t="s">
        <v>140</v>
      </c>
      <c r="B48" s="25" t="s">
        <v>139</v>
      </c>
      <c r="C48" s="419">
        <f>'6.2. Паспорт фин осв ввод факт'!C48</f>
        <v>0</v>
      </c>
      <c r="D48" s="419">
        <v>0</v>
      </c>
      <c r="E48" s="419">
        <v>0</v>
      </c>
      <c r="F48" s="419">
        <v>0</v>
      </c>
      <c r="G48" s="419">
        <v>0</v>
      </c>
      <c r="H48" s="419">
        <f>'6.2. Паспорт фин осв ввод факт'!T48</f>
        <v>0</v>
      </c>
      <c r="I48" s="419">
        <v>0</v>
      </c>
      <c r="J48" s="419" t="s">
        <v>537</v>
      </c>
      <c r="K48" s="419" t="s">
        <v>537</v>
      </c>
      <c r="L48" s="419">
        <v>0</v>
      </c>
      <c r="M48" s="419">
        <v>0</v>
      </c>
      <c r="N48" s="419" t="s">
        <v>537</v>
      </c>
      <c r="O48" s="419" t="s">
        <v>537</v>
      </c>
      <c r="P48" s="419">
        <v>0</v>
      </c>
      <c r="Q48" s="419">
        <v>0</v>
      </c>
      <c r="R48" s="419" t="s">
        <v>537</v>
      </c>
      <c r="S48" s="419" t="s">
        <v>537</v>
      </c>
      <c r="T48" s="419">
        <v>0</v>
      </c>
      <c r="U48" s="419">
        <v>0</v>
      </c>
      <c r="V48" s="419" t="s">
        <v>537</v>
      </c>
      <c r="W48" s="419" t="s">
        <v>537</v>
      </c>
      <c r="X48" s="419">
        <v>0</v>
      </c>
      <c r="Y48" s="419">
        <v>0</v>
      </c>
      <c r="Z48" s="419" t="s">
        <v>537</v>
      </c>
      <c r="AA48" s="419" t="s">
        <v>537</v>
      </c>
      <c r="AB48" s="419">
        <v>0</v>
      </c>
      <c r="AC48" s="419" t="s">
        <v>537</v>
      </c>
    </row>
    <row r="49" spans="1:29" x14ac:dyDescent="0.25">
      <c r="A49" s="41" t="s">
        <v>138</v>
      </c>
      <c r="B49" s="25" t="s">
        <v>137</v>
      </c>
      <c r="C49" s="419">
        <f>'6.2. Паспорт фин осв ввод факт'!C49</f>
        <v>0</v>
      </c>
      <c r="D49" s="419">
        <v>0</v>
      </c>
      <c r="E49" s="419">
        <v>0</v>
      </c>
      <c r="F49" s="419">
        <v>0</v>
      </c>
      <c r="G49" s="419">
        <v>0</v>
      </c>
      <c r="H49" s="419">
        <f>'6.2. Паспорт фин осв ввод факт'!T49</f>
        <v>0</v>
      </c>
      <c r="I49" s="419">
        <v>0</v>
      </c>
      <c r="J49" s="419" t="s">
        <v>537</v>
      </c>
      <c r="K49" s="419" t="s">
        <v>537</v>
      </c>
      <c r="L49" s="419">
        <v>0</v>
      </c>
      <c r="M49" s="419">
        <v>0</v>
      </c>
      <c r="N49" s="419" t="s">
        <v>537</v>
      </c>
      <c r="O49" s="419" t="s">
        <v>537</v>
      </c>
      <c r="P49" s="419">
        <v>0</v>
      </c>
      <c r="Q49" s="419">
        <v>0</v>
      </c>
      <c r="R49" s="419" t="s">
        <v>537</v>
      </c>
      <c r="S49" s="419" t="s">
        <v>537</v>
      </c>
      <c r="T49" s="419">
        <v>0</v>
      </c>
      <c r="U49" s="419">
        <v>0</v>
      </c>
      <c r="V49" s="419" t="s">
        <v>537</v>
      </c>
      <c r="W49" s="419" t="s">
        <v>537</v>
      </c>
      <c r="X49" s="419">
        <v>0</v>
      </c>
      <c r="Y49" s="419">
        <v>0</v>
      </c>
      <c r="Z49" s="419" t="s">
        <v>537</v>
      </c>
      <c r="AA49" s="419" t="s">
        <v>537</v>
      </c>
      <c r="AB49" s="419">
        <v>0</v>
      </c>
      <c r="AC49" s="419" t="s">
        <v>537</v>
      </c>
    </row>
    <row r="50" spans="1:29" ht="18.75" x14ac:dyDescent="0.25">
      <c r="A50" s="41" t="s">
        <v>136</v>
      </c>
      <c r="B50" s="168" t="s">
        <v>546</v>
      </c>
      <c r="C50" s="419">
        <v>24</v>
      </c>
      <c r="D50" s="419">
        <v>24</v>
      </c>
      <c r="E50" s="419">
        <v>24</v>
      </c>
      <c r="F50" s="419">
        <v>24</v>
      </c>
      <c r="G50" s="419">
        <v>24</v>
      </c>
      <c r="H50" s="419">
        <f>'6.2. Паспорт фин осв ввод факт'!T50</f>
        <v>0</v>
      </c>
      <c r="I50" s="419">
        <v>0</v>
      </c>
      <c r="J50" s="419" t="s">
        <v>537</v>
      </c>
      <c r="K50" s="419" t="s">
        <v>537</v>
      </c>
      <c r="L50" s="419">
        <v>0</v>
      </c>
      <c r="M50" s="419">
        <v>0</v>
      </c>
      <c r="N50" s="419" t="s">
        <v>537</v>
      </c>
      <c r="O50" s="419" t="s">
        <v>537</v>
      </c>
      <c r="P50" s="419">
        <v>0</v>
      </c>
      <c r="Q50" s="419">
        <v>0</v>
      </c>
      <c r="R50" s="419" t="s">
        <v>537</v>
      </c>
      <c r="S50" s="419" t="s">
        <v>537</v>
      </c>
      <c r="T50" s="419">
        <v>0</v>
      </c>
      <c r="U50" s="419">
        <v>0</v>
      </c>
      <c r="V50" s="419" t="s">
        <v>537</v>
      </c>
      <c r="W50" s="419" t="s">
        <v>537</v>
      </c>
      <c r="X50" s="419">
        <v>0</v>
      </c>
      <c r="Y50" s="419">
        <v>0</v>
      </c>
      <c r="Z50" s="419" t="s">
        <v>537</v>
      </c>
      <c r="AA50" s="419" t="s">
        <v>537</v>
      </c>
      <c r="AB50" s="419">
        <v>0</v>
      </c>
      <c r="AC50" s="419" t="s">
        <v>537</v>
      </c>
    </row>
    <row r="51" spans="1:29" ht="35.25" customHeight="1" x14ac:dyDescent="0.25">
      <c r="A51" s="41" t="s">
        <v>57</v>
      </c>
      <c r="B51" s="25" t="s">
        <v>135</v>
      </c>
      <c r="C51" s="419">
        <f>'6.2. Паспорт фин осв ввод факт'!C51</f>
        <v>0</v>
      </c>
      <c r="D51" s="419">
        <v>0</v>
      </c>
      <c r="E51" s="419">
        <v>0</v>
      </c>
      <c r="F51" s="419">
        <v>0</v>
      </c>
      <c r="G51" s="419">
        <v>0</v>
      </c>
      <c r="H51" s="419">
        <f>'6.2. Паспорт фин осв ввод факт'!T51</f>
        <v>0</v>
      </c>
      <c r="I51" s="419">
        <v>0</v>
      </c>
      <c r="J51" s="419" t="s">
        <v>537</v>
      </c>
      <c r="K51" s="419" t="s">
        <v>537</v>
      </c>
      <c r="L51" s="419">
        <v>0</v>
      </c>
      <c r="M51" s="419">
        <v>0</v>
      </c>
      <c r="N51" s="419" t="s">
        <v>537</v>
      </c>
      <c r="O51" s="419" t="s">
        <v>537</v>
      </c>
      <c r="P51" s="419">
        <v>0</v>
      </c>
      <c r="Q51" s="419">
        <v>0</v>
      </c>
      <c r="R51" s="419" t="s">
        <v>537</v>
      </c>
      <c r="S51" s="419" t="s">
        <v>537</v>
      </c>
      <c r="T51" s="419">
        <v>0</v>
      </c>
      <c r="U51" s="419">
        <v>0</v>
      </c>
      <c r="V51" s="419" t="s">
        <v>537</v>
      </c>
      <c r="W51" s="419" t="s">
        <v>537</v>
      </c>
      <c r="X51" s="419">
        <v>0</v>
      </c>
      <c r="Y51" s="419">
        <v>0</v>
      </c>
      <c r="Z51" s="419" t="s">
        <v>537</v>
      </c>
      <c r="AA51" s="419" t="s">
        <v>537</v>
      </c>
      <c r="AB51" s="419">
        <v>0</v>
      </c>
      <c r="AC51" s="419" t="s">
        <v>537</v>
      </c>
    </row>
    <row r="52" spans="1:29" x14ac:dyDescent="0.25">
      <c r="A52" s="41" t="s">
        <v>134</v>
      </c>
      <c r="B52" s="25" t="s">
        <v>133</v>
      </c>
      <c r="C52" s="419">
        <f>C30</f>
        <v>74.132649709572945</v>
      </c>
      <c r="D52" s="419">
        <v>74.132649709572945</v>
      </c>
      <c r="E52" s="419">
        <v>74.132649709572945</v>
      </c>
      <c r="F52" s="419">
        <v>74.132649709572945</v>
      </c>
      <c r="G52" s="419">
        <v>74.132649709572945</v>
      </c>
      <c r="H52" s="419">
        <f>'6.2. Паспорт фин осв ввод факт'!T52</f>
        <v>0</v>
      </c>
      <c r="I52" s="419">
        <v>0</v>
      </c>
      <c r="J52" s="419" t="s">
        <v>537</v>
      </c>
      <c r="K52" s="419" t="s">
        <v>537</v>
      </c>
      <c r="L52" s="419">
        <v>0</v>
      </c>
      <c r="M52" s="419">
        <v>0</v>
      </c>
      <c r="N52" s="419" t="s">
        <v>537</v>
      </c>
      <c r="O52" s="419" t="s">
        <v>537</v>
      </c>
      <c r="P52" s="419">
        <v>0</v>
      </c>
      <c r="Q52" s="419">
        <v>0</v>
      </c>
      <c r="R52" s="419" t="s">
        <v>537</v>
      </c>
      <c r="S52" s="419" t="s">
        <v>537</v>
      </c>
      <c r="T52" s="419">
        <v>0</v>
      </c>
      <c r="U52" s="419">
        <v>0</v>
      </c>
      <c r="V52" s="419" t="s">
        <v>537</v>
      </c>
      <c r="W52" s="419" t="s">
        <v>537</v>
      </c>
      <c r="X52" s="419">
        <v>0</v>
      </c>
      <c r="Y52" s="419">
        <v>0</v>
      </c>
      <c r="Z52" s="419" t="s">
        <v>537</v>
      </c>
      <c r="AA52" s="419" t="s">
        <v>537</v>
      </c>
      <c r="AB52" s="419">
        <v>0</v>
      </c>
      <c r="AC52" s="419" t="s">
        <v>537</v>
      </c>
    </row>
    <row r="53" spans="1:29" x14ac:dyDescent="0.25">
      <c r="A53" s="41" t="s">
        <v>132</v>
      </c>
      <c r="B53" s="25" t="s">
        <v>126</v>
      </c>
      <c r="C53" s="419">
        <f>'6.2. Паспорт фин осв ввод факт'!C53</f>
        <v>0</v>
      </c>
      <c r="D53" s="419">
        <v>0</v>
      </c>
      <c r="E53" s="419">
        <v>0</v>
      </c>
      <c r="F53" s="419">
        <v>0</v>
      </c>
      <c r="G53" s="419">
        <v>0</v>
      </c>
      <c r="H53" s="419">
        <f>'6.2. Паспорт фин осв ввод факт'!T53</f>
        <v>0</v>
      </c>
      <c r="I53" s="419">
        <v>0</v>
      </c>
      <c r="J53" s="419" t="s">
        <v>537</v>
      </c>
      <c r="K53" s="419" t="s">
        <v>537</v>
      </c>
      <c r="L53" s="419">
        <v>0</v>
      </c>
      <c r="M53" s="419">
        <v>0</v>
      </c>
      <c r="N53" s="419" t="s">
        <v>537</v>
      </c>
      <c r="O53" s="419" t="s">
        <v>537</v>
      </c>
      <c r="P53" s="419">
        <v>0</v>
      </c>
      <c r="Q53" s="419">
        <v>0</v>
      </c>
      <c r="R53" s="419" t="s">
        <v>537</v>
      </c>
      <c r="S53" s="419" t="s">
        <v>537</v>
      </c>
      <c r="T53" s="419">
        <v>0</v>
      </c>
      <c r="U53" s="419">
        <v>0</v>
      </c>
      <c r="V53" s="419" t="s">
        <v>537</v>
      </c>
      <c r="W53" s="419" t="s">
        <v>537</v>
      </c>
      <c r="X53" s="419">
        <v>0</v>
      </c>
      <c r="Y53" s="419">
        <v>0</v>
      </c>
      <c r="Z53" s="419" t="s">
        <v>537</v>
      </c>
      <c r="AA53" s="419" t="s">
        <v>537</v>
      </c>
      <c r="AB53" s="419">
        <v>0</v>
      </c>
      <c r="AC53" s="419" t="s">
        <v>537</v>
      </c>
    </row>
    <row r="54" spans="1:29" x14ac:dyDescent="0.25">
      <c r="A54" s="41" t="s">
        <v>131</v>
      </c>
      <c r="B54" s="168" t="s">
        <v>125</v>
      </c>
      <c r="C54" s="419">
        <v>0.1</v>
      </c>
      <c r="D54" s="419">
        <v>0.1</v>
      </c>
      <c r="E54" s="419">
        <v>0.1</v>
      </c>
      <c r="F54" s="419">
        <v>0.1</v>
      </c>
      <c r="G54" s="419">
        <v>0.1</v>
      </c>
      <c r="H54" s="419">
        <f>'6.2. Паспорт фин осв ввод факт'!T54</f>
        <v>0</v>
      </c>
      <c r="I54" s="419">
        <v>0</v>
      </c>
      <c r="J54" s="419" t="s">
        <v>537</v>
      </c>
      <c r="K54" s="419" t="s">
        <v>537</v>
      </c>
      <c r="L54" s="419">
        <v>0</v>
      </c>
      <c r="M54" s="419">
        <v>0</v>
      </c>
      <c r="N54" s="419" t="s">
        <v>537</v>
      </c>
      <c r="O54" s="419" t="s">
        <v>537</v>
      </c>
      <c r="P54" s="419">
        <v>0</v>
      </c>
      <c r="Q54" s="419">
        <v>0</v>
      </c>
      <c r="R54" s="419" t="s">
        <v>537</v>
      </c>
      <c r="S54" s="419" t="s">
        <v>537</v>
      </c>
      <c r="T54" s="419">
        <v>0</v>
      </c>
      <c r="U54" s="419">
        <v>0</v>
      </c>
      <c r="V54" s="419" t="s">
        <v>537</v>
      </c>
      <c r="W54" s="419" t="s">
        <v>537</v>
      </c>
      <c r="X54" s="419">
        <v>0</v>
      </c>
      <c r="Y54" s="419">
        <v>0</v>
      </c>
      <c r="Z54" s="419" t="s">
        <v>537</v>
      </c>
      <c r="AA54" s="419" t="s">
        <v>537</v>
      </c>
      <c r="AB54" s="419">
        <v>0</v>
      </c>
      <c r="AC54" s="419" t="s">
        <v>537</v>
      </c>
    </row>
    <row r="55" spans="1:29" x14ac:dyDescent="0.25">
      <c r="A55" s="41" t="s">
        <v>130</v>
      </c>
      <c r="B55" s="168" t="s">
        <v>124</v>
      </c>
      <c r="C55" s="419">
        <f>'6.2. Паспорт фин осв ввод факт'!C55</f>
        <v>0</v>
      </c>
      <c r="D55" s="419">
        <v>0</v>
      </c>
      <c r="E55" s="419">
        <v>0</v>
      </c>
      <c r="F55" s="419">
        <v>0</v>
      </c>
      <c r="G55" s="419">
        <v>0</v>
      </c>
      <c r="H55" s="419">
        <f>'6.2. Паспорт фин осв ввод факт'!T55</f>
        <v>0</v>
      </c>
      <c r="I55" s="419">
        <v>0</v>
      </c>
      <c r="J55" s="419" t="s">
        <v>537</v>
      </c>
      <c r="K55" s="419" t="s">
        <v>537</v>
      </c>
      <c r="L55" s="419">
        <v>0</v>
      </c>
      <c r="M55" s="419">
        <v>0</v>
      </c>
      <c r="N55" s="419" t="s">
        <v>537</v>
      </c>
      <c r="O55" s="419" t="s">
        <v>537</v>
      </c>
      <c r="P55" s="419">
        <v>0</v>
      </c>
      <c r="Q55" s="419">
        <v>0</v>
      </c>
      <c r="R55" s="419" t="s">
        <v>537</v>
      </c>
      <c r="S55" s="419" t="s">
        <v>537</v>
      </c>
      <c r="T55" s="419">
        <v>0</v>
      </c>
      <c r="U55" s="419">
        <v>0</v>
      </c>
      <c r="V55" s="419" t="s">
        <v>537</v>
      </c>
      <c r="W55" s="419" t="s">
        <v>537</v>
      </c>
      <c r="X55" s="419">
        <v>0</v>
      </c>
      <c r="Y55" s="419">
        <v>0</v>
      </c>
      <c r="Z55" s="419" t="s">
        <v>537</v>
      </c>
      <c r="AA55" s="419" t="s">
        <v>537</v>
      </c>
      <c r="AB55" s="419">
        <v>0</v>
      </c>
      <c r="AC55" s="419" t="s">
        <v>537</v>
      </c>
    </row>
    <row r="56" spans="1:29" x14ac:dyDescent="0.25">
      <c r="A56" s="41" t="s">
        <v>129</v>
      </c>
      <c r="B56" s="168" t="s">
        <v>123</v>
      </c>
      <c r="C56" s="419">
        <f>'6.2. Паспорт фин осв ввод факт'!C56</f>
        <v>0</v>
      </c>
      <c r="D56" s="419">
        <v>0</v>
      </c>
      <c r="E56" s="419">
        <v>0</v>
      </c>
      <c r="F56" s="419">
        <v>0</v>
      </c>
      <c r="G56" s="419">
        <v>0</v>
      </c>
      <c r="H56" s="419">
        <f>'6.2. Паспорт фин осв ввод факт'!T56</f>
        <v>0</v>
      </c>
      <c r="I56" s="419">
        <v>0</v>
      </c>
      <c r="J56" s="419" t="s">
        <v>537</v>
      </c>
      <c r="K56" s="419" t="s">
        <v>537</v>
      </c>
      <c r="L56" s="419">
        <v>0</v>
      </c>
      <c r="M56" s="419">
        <v>0</v>
      </c>
      <c r="N56" s="419" t="s">
        <v>537</v>
      </c>
      <c r="O56" s="419" t="s">
        <v>537</v>
      </c>
      <c r="P56" s="419">
        <v>0</v>
      </c>
      <c r="Q56" s="419">
        <v>0</v>
      </c>
      <c r="R56" s="419" t="s">
        <v>537</v>
      </c>
      <c r="S56" s="419" t="s">
        <v>537</v>
      </c>
      <c r="T56" s="419">
        <v>0</v>
      </c>
      <c r="U56" s="419">
        <v>0</v>
      </c>
      <c r="V56" s="419" t="s">
        <v>537</v>
      </c>
      <c r="W56" s="419" t="s">
        <v>537</v>
      </c>
      <c r="X56" s="419">
        <v>0</v>
      </c>
      <c r="Y56" s="419">
        <v>0</v>
      </c>
      <c r="Z56" s="419" t="s">
        <v>537</v>
      </c>
      <c r="AA56" s="419" t="s">
        <v>537</v>
      </c>
      <c r="AB56" s="419">
        <v>0</v>
      </c>
      <c r="AC56" s="419" t="s">
        <v>537</v>
      </c>
    </row>
    <row r="57" spans="1:29" ht="18.75" x14ac:dyDescent="0.25">
      <c r="A57" s="41" t="s">
        <v>128</v>
      </c>
      <c r="B57" s="168" t="s">
        <v>546</v>
      </c>
      <c r="C57" s="419">
        <v>24</v>
      </c>
      <c r="D57" s="419">
        <v>24</v>
      </c>
      <c r="E57" s="419">
        <v>24</v>
      </c>
      <c r="F57" s="419">
        <v>24</v>
      </c>
      <c r="G57" s="419">
        <v>24</v>
      </c>
      <c r="H57" s="419">
        <f>'6.2. Паспорт фин осв ввод факт'!T57</f>
        <v>0</v>
      </c>
      <c r="I57" s="419">
        <v>0</v>
      </c>
      <c r="J57" s="419" t="s">
        <v>537</v>
      </c>
      <c r="K57" s="419" t="s">
        <v>537</v>
      </c>
      <c r="L57" s="419">
        <v>0</v>
      </c>
      <c r="M57" s="419">
        <v>0</v>
      </c>
      <c r="N57" s="419" t="s">
        <v>537</v>
      </c>
      <c r="O57" s="419" t="s">
        <v>537</v>
      </c>
      <c r="P57" s="419">
        <v>0</v>
      </c>
      <c r="Q57" s="419">
        <v>0</v>
      </c>
      <c r="R57" s="419" t="s">
        <v>537</v>
      </c>
      <c r="S57" s="419" t="s">
        <v>537</v>
      </c>
      <c r="T57" s="419">
        <v>0</v>
      </c>
      <c r="U57" s="419">
        <v>0</v>
      </c>
      <c r="V57" s="419" t="s">
        <v>537</v>
      </c>
      <c r="W57" s="419" t="s">
        <v>537</v>
      </c>
      <c r="X57" s="419">
        <v>0</v>
      </c>
      <c r="Y57" s="419">
        <v>0</v>
      </c>
      <c r="Z57" s="419" t="s">
        <v>537</v>
      </c>
      <c r="AA57" s="419" t="s">
        <v>537</v>
      </c>
      <c r="AB57" s="419">
        <v>0</v>
      </c>
      <c r="AC57" s="419" t="s">
        <v>537</v>
      </c>
    </row>
    <row r="58" spans="1:29" ht="36.75" customHeight="1" x14ac:dyDescent="0.25">
      <c r="A58" s="41" t="s">
        <v>56</v>
      </c>
      <c r="B58" s="168" t="s">
        <v>207</v>
      </c>
      <c r="C58" s="419">
        <v>0</v>
      </c>
      <c r="D58" s="419">
        <v>0</v>
      </c>
      <c r="E58" s="419">
        <v>0</v>
      </c>
      <c r="F58" s="419">
        <v>0</v>
      </c>
      <c r="G58" s="419">
        <v>0</v>
      </c>
      <c r="H58" s="419">
        <f>'6.2. Паспорт фин осв ввод факт'!T58</f>
        <v>0</v>
      </c>
      <c r="I58" s="419">
        <v>0</v>
      </c>
      <c r="J58" s="419" t="s">
        <v>537</v>
      </c>
      <c r="K58" s="419" t="s">
        <v>537</v>
      </c>
      <c r="L58" s="419">
        <v>0</v>
      </c>
      <c r="M58" s="419">
        <v>0</v>
      </c>
      <c r="N58" s="419" t="s">
        <v>537</v>
      </c>
      <c r="O58" s="419" t="s">
        <v>537</v>
      </c>
      <c r="P58" s="419">
        <v>0</v>
      </c>
      <c r="Q58" s="419">
        <v>0</v>
      </c>
      <c r="R58" s="419" t="s">
        <v>537</v>
      </c>
      <c r="S58" s="419" t="s">
        <v>537</v>
      </c>
      <c r="T58" s="419">
        <v>0</v>
      </c>
      <c r="U58" s="419">
        <v>0</v>
      </c>
      <c r="V58" s="419" t="s">
        <v>537</v>
      </c>
      <c r="W58" s="419" t="s">
        <v>537</v>
      </c>
      <c r="X58" s="419">
        <v>0</v>
      </c>
      <c r="Y58" s="419">
        <v>0</v>
      </c>
      <c r="Z58" s="419" t="s">
        <v>537</v>
      </c>
      <c r="AA58" s="419" t="s">
        <v>537</v>
      </c>
      <c r="AB58" s="419">
        <v>0</v>
      </c>
      <c r="AC58" s="419" t="s">
        <v>537</v>
      </c>
    </row>
    <row r="59" spans="1:29" x14ac:dyDescent="0.25">
      <c r="A59" s="41" t="s">
        <v>54</v>
      </c>
      <c r="B59" s="25" t="s">
        <v>127</v>
      </c>
      <c r="C59" s="419">
        <v>0</v>
      </c>
      <c r="D59" s="419">
        <v>0</v>
      </c>
      <c r="E59" s="419">
        <v>0</v>
      </c>
      <c r="F59" s="419">
        <v>0</v>
      </c>
      <c r="G59" s="419">
        <v>0</v>
      </c>
      <c r="H59" s="419">
        <f>'6.2. Паспорт фин осв ввод факт'!T59</f>
        <v>0</v>
      </c>
      <c r="I59" s="419">
        <v>0</v>
      </c>
      <c r="J59" s="419" t="s">
        <v>537</v>
      </c>
      <c r="K59" s="419" t="s">
        <v>537</v>
      </c>
      <c r="L59" s="419">
        <v>0</v>
      </c>
      <c r="M59" s="419">
        <v>0</v>
      </c>
      <c r="N59" s="419" t="s">
        <v>537</v>
      </c>
      <c r="O59" s="419" t="s">
        <v>537</v>
      </c>
      <c r="P59" s="419">
        <v>0</v>
      </c>
      <c r="Q59" s="419">
        <v>0</v>
      </c>
      <c r="R59" s="419" t="s">
        <v>537</v>
      </c>
      <c r="S59" s="419" t="s">
        <v>537</v>
      </c>
      <c r="T59" s="419">
        <v>0</v>
      </c>
      <c r="U59" s="419">
        <v>0</v>
      </c>
      <c r="V59" s="419" t="s">
        <v>537</v>
      </c>
      <c r="W59" s="419" t="s">
        <v>537</v>
      </c>
      <c r="X59" s="419">
        <v>0</v>
      </c>
      <c r="Y59" s="419">
        <v>0</v>
      </c>
      <c r="Z59" s="419" t="s">
        <v>537</v>
      </c>
      <c r="AA59" s="419" t="s">
        <v>537</v>
      </c>
      <c r="AB59" s="419">
        <v>0</v>
      </c>
      <c r="AC59" s="419" t="s">
        <v>537</v>
      </c>
    </row>
    <row r="60" spans="1:29" x14ac:dyDescent="0.25">
      <c r="A60" s="41" t="s">
        <v>201</v>
      </c>
      <c r="B60" s="169" t="s">
        <v>147</v>
      </c>
      <c r="C60" s="419">
        <v>0</v>
      </c>
      <c r="D60" s="419">
        <v>0</v>
      </c>
      <c r="E60" s="419">
        <v>0</v>
      </c>
      <c r="F60" s="419">
        <v>0</v>
      </c>
      <c r="G60" s="419">
        <v>0</v>
      </c>
      <c r="H60" s="419">
        <f>'6.2. Паспорт фин осв ввод факт'!T60</f>
        <v>0</v>
      </c>
      <c r="I60" s="419">
        <v>0</v>
      </c>
      <c r="J60" s="419" t="s">
        <v>537</v>
      </c>
      <c r="K60" s="419" t="s">
        <v>537</v>
      </c>
      <c r="L60" s="419">
        <v>0</v>
      </c>
      <c r="M60" s="419">
        <v>0</v>
      </c>
      <c r="N60" s="419" t="s">
        <v>537</v>
      </c>
      <c r="O60" s="419" t="s">
        <v>537</v>
      </c>
      <c r="P60" s="419">
        <v>0</v>
      </c>
      <c r="Q60" s="419">
        <v>0</v>
      </c>
      <c r="R60" s="419" t="s">
        <v>537</v>
      </c>
      <c r="S60" s="419" t="s">
        <v>537</v>
      </c>
      <c r="T60" s="419">
        <v>0</v>
      </c>
      <c r="U60" s="419">
        <v>0</v>
      </c>
      <c r="V60" s="419" t="s">
        <v>537</v>
      </c>
      <c r="W60" s="419" t="s">
        <v>537</v>
      </c>
      <c r="X60" s="419">
        <v>0</v>
      </c>
      <c r="Y60" s="419">
        <v>0</v>
      </c>
      <c r="Z60" s="419" t="s">
        <v>537</v>
      </c>
      <c r="AA60" s="419" t="s">
        <v>537</v>
      </c>
      <c r="AB60" s="419">
        <v>0</v>
      </c>
      <c r="AC60" s="419" t="s">
        <v>537</v>
      </c>
    </row>
    <row r="61" spans="1:29" x14ac:dyDescent="0.25">
      <c r="A61" s="41" t="s">
        <v>202</v>
      </c>
      <c r="B61" s="169" t="s">
        <v>145</v>
      </c>
      <c r="C61" s="419">
        <v>0.1</v>
      </c>
      <c r="D61" s="419">
        <v>0.1</v>
      </c>
      <c r="E61" s="419">
        <v>0.1</v>
      </c>
      <c r="F61" s="419">
        <v>0.1</v>
      </c>
      <c r="G61" s="419">
        <v>0.1</v>
      </c>
      <c r="H61" s="419">
        <f>'6.2. Паспорт фин осв ввод факт'!T61</f>
        <v>0</v>
      </c>
      <c r="I61" s="419">
        <v>0</v>
      </c>
      <c r="J61" s="419" t="s">
        <v>537</v>
      </c>
      <c r="K61" s="419" t="s">
        <v>537</v>
      </c>
      <c r="L61" s="419">
        <v>0</v>
      </c>
      <c r="M61" s="419">
        <v>0</v>
      </c>
      <c r="N61" s="419" t="s">
        <v>537</v>
      </c>
      <c r="O61" s="419" t="s">
        <v>537</v>
      </c>
      <c r="P61" s="419">
        <v>0</v>
      </c>
      <c r="Q61" s="419">
        <v>0</v>
      </c>
      <c r="R61" s="419" t="s">
        <v>537</v>
      </c>
      <c r="S61" s="419" t="s">
        <v>537</v>
      </c>
      <c r="T61" s="419">
        <v>0</v>
      </c>
      <c r="U61" s="419">
        <v>0</v>
      </c>
      <c r="V61" s="419" t="s">
        <v>537</v>
      </c>
      <c r="W61" s="419" t="s">
        <v>537</v>
      </c>
      <c r="X61" s="419">
        <v>0</v>
      </c>
      <c r="Y61" s="419">
        <v>0</v>
      </c>
      <c r="Z61" s="419" t="s">
        <v>537</v>
      </c>
      <c r="AA61" s="419" t="s">
        <v>537</v>
      </c>
      <c r="AB61" s="419">
        <v>0</v>
      </c>
      <c r="AC61" s="419" t="s">
        <v>537</v>
      </c>
    </row>
    <row r="62" spans="1:29" x14ac:dyDescent="0.25">
      <c r="A62" s="41" t="s">
        <v>203</v>
      </c>
      <c r="B62" s="169" t="s">
        <v>143</v>
      </c>
      <c r="C62" s="419">
        <v>0</v>
      </c>
      <c r="D62" s="419">
        <v>0</v>
      </c>
      <c r="E62" s="419">
        <v>0</v>
      </c>
      <c r="F62" s="419">
        <v>0</v>
      </c>
      <c r="G62" s="419">
        <v>0</v>
      </c>
      <c r="H62" s="419">
        <f>'6.2. Паспорт фин осв ввод факт'!T62</f>
        <v>0</v>
      </c>
      <c r="I62" s="419">
        <v>0</v>
      </c>
      <c r="J62" s="419" t="s">
        <v>537</v>
      </c>
      <c r="K62" s="419" t="s">
        <v>537</v>
      </c>
      <c r="L62" s="419">
        <v>0</v>
      </c>
      <c r="M62" s="419">
        <v>0</v>
      </c>
      <c r="N62" s="419" t="s">
        <v>537</v>
      </c>
      <c r="O62" s="419" t="s">
        <v>537</v>
      </c>
      <c r="P62" s="419">
        <v>0</v>
      </c>
      <c r="Q62" s="419">
        <v>0</v>
      </c>
      <c r="R62" s="419" t="s">
        <v>537</v>
      </c>
      <c r="S62" s="419" t="s">
        <v>537</v>
      </c>
      <c r="T62" s="419">
        <v>0</v>
      </c>
      <c r="U62" s="419">
        <v>0</v>
      </c>
      <c r="V62" s="419" t="s">
        <v>537</v>
      </c>
      <c r="W62" s="419" t="s">
        <v>537</v>
      </c>
      <c r="X62" s="419">
        <v>0</v>
      </c>
      <c r="Y62" s="419">
        <v>0</v>
      </c>
      <c r="Z62" s="419" t="s">
        <v>537</v>
      </c>
      <c r="AA62" s="419" t="s">
        <v>537</v>
      </c>
      <c r="AB62" s="419">
        <v>0</v>
      </c>
      <c r="AC62" s="419" t="s">
        <v>537</v>
      </c>
    </row>
    <row r="63" spans="1:29" x14ac:dyDescent="0.25">
      <c r="A63" s="41" t="s">
        <v>204</v>
      </c>
      <c r="B63" s="169" t="s">
        <v>206</v>
      </c>
      <c r="C63" s="419">
        <v>0</v>
      </c>
      <c r="D63" s="419">
        <v>0</v>
      </c>
      <c r="E63" s="419">
        <v>0</v>
      </c>
      <c r="F63" s="419">
        <v>0</v>
      </c>
      <c r="G63" s="419">
        <v>0</v>
      </c>
      <c r="H63" s="419">
        <f>'6.2. Паспорт фин осв ввод факт'!T63</f>
        <v>0</v>
      </c>
      <c r="I63" s="419">
        <v>0</v>
      </c>
      <c r="J63" s="419" t="s">
        <v>537</v>
      </c>
      <c r="K63" s="419" t="s">
        <v>537</v>
      </c>
      <c r="L63" s="419">
        <v>0</v>
      </c>
      <c r="M63" s="419">
        <v>0</v>
      </c>
      <c r="N63" s="419" t="s">
        <v>537</v>
      </c>
      <c r="O63" s="419" t="s">
        <v>537</v>
      </c>
      <c r="P63" s="419">
        <v>0</v>
      </c>
      <c r="Q63" s="419">
        <v>0</v>
      </c>
      <c r="R63" s="419" t="s">
        <v>537</v>
      </c>
      <c r="S63" s="419" t="s">
        <v>537</v>
      </c>
      <c r="T63" s="419">
        <v>0</v>
      </c>
      <c r="U63" s="419">
        <v>0</v>
      </c>
      <c r="V63" s="419" t="s">
        <v>537</v>
      </c>
      <c r="W63" s="419" t="s">
        <v>537</v>
      </c>
      <c r="X63" s="419">
        <v>0</v>
      </c>
      <c r="Y63" s="419">
        <v>0</v>
      </c>
      <c r="Z63" s="419" t="s">
        <v>537</v>
      </c>
      <c r="AA63" s="419" t="s">
        <v>537</v>
      </c>
      <c r="AB63" s="419">
        <v>0</v>
      </c>
      <c r="AC63" s="419" t="s">
        <v>537</v>
      </c>
    </row>
    <row r="64" spans="1:29" ht="18.75" x14ac:dyDescent="0.25">
      <c r="A64" s="41" t="s">
        <v>205</v>
      </c>
      <c r="B64" s="168" t="s">
        <v>546</v>
      </c>
      <c r="C64" s="419">
        <v>24</v>
      </c>
      <c r="D64" s="419">
        <v>24</v>
      </c>
      <c r="E64" s="419">
        <v>24</v>
      </c>
      <c r="F64" s="419">
        <v>24</v>
      </c>
      <c r="G64" s="419">
        <v>24</v>
      </c>
      <c r="H64" s="419">
        <f>'6.2. Паспорт фин осв ввод факт'!T64</f>
        <v>0</v>
      </c>
      <c r="I64" s="419">
        <v>0</v>
      </c>
      <c r="J64" s="419" t="s">
        <v>537</v>
      </c>
      <c r="K64" s="419" t="s">
        <v>537</v>
      </c>
      <c r="L64" s="419">
        <v>0</v>
      </c>
      <c r="M64" s="419">
        <v>0</v>
      </c>
      <c r="N64" s="419" t="s">
        <v>537</v>
      </c>
      <c r="O64" s="419" t="s">
        <v>537</v>
      </c>
      <c r="P64" s="419">
        <v>0</v>
      </c>
      <c r="Q64" s="419">
        <v>0</v>
      </c>
      <c r="R64" s="419" t="s">
        <v>537</v>
      </c>
      <c r="S64" s="419" t="s">
        <v>537</v>
      </c>
      <c r="T64" s="419">
        <v>0</v>
      </c>
      <c r="U64" s="419">
        <v>0</v>
      </c>
      <c r="V64" s="419" t="s">
        <v>537</v>
      </c>
      <c r="W64" s="419" t="s">
        <v>537</v>
      </c>
      <c r="X64" s="419">
        <v>0</v>
      </c>
      <c r="Y64" s="419">
        <v>0</v>
      </c>
      <c r="Z64" s="419" t="s">
        <v>537</v>
      </c>
      <c r="AA64" s="419" t="s">
        <v>537</v>
      </c>
      <c r="AB64" s="419">
        <v>0</v>
      </c>
      <c r="AC64" s="419" t="s">
        <v>537</v>
      </c>
    </row>
    <row r="65" spans="1:28" x14ac:dyDescent="0.25">
      <c r="A65" s="38"/>
      <c r="B65" s="33"/>
      <c r="C65" s="33"/>
      <c r="D65" s="33"/>
      <c r="E65" s="33"/>
      <c r="F65" s="33"/>
      <c r="G65" s="33"/>
    </row>
    <row r="66" spans="1:28" ht="54" customHeight="1" x14ac:dyDescent="0.25">
      <c r="B66" s="361"/>
      <c r="C66" s="361"/>
      <c r="D66" s="361"/>
      <c r="E66" s="361"/>
      <c r="F66" s="361"/>
      <c r="G66" s="35"/>
      <c r="H66" s="37"/>
      <c r="I66" s="37"/>
      <c r="J66" s="37"/>
      <c r="K66" s="37"/>
      <c r="L66" s="37"/>
      <c r="M66" s="37"/>
      <c r="N66" s="37"/>
      <c r="O66" s="37"/>
      <c r="P66" s="37"/>
      <c r="Q66" s="37"/>
      <c r="R66" s="37"/>
      <c r="S66" s="37"/>
      <c r="T66" s="37"/>
      <c r="U66" s="37"/>
      <c r="V66" s="37"/>
      <c r="W66" s="37"/>
      <c r="X66" s="37"/>
      <c r="Y66" s="37"/>
      <c r="Z66" s="37"/>
      <c r="AA66" s="37"/>
      <c r="AB66" s="37"/>
    </row>
    <row r="68" spans="1:28" ht="50.25" customHeight="1" x14ac:dyDescent="0.25">
      <c r="B68" s="361"/>
      <c r="C68" s="361"/>
      <c r="D68" s="361"/>
      <c r="E68" s="361"/>
      <c r="F68" s="361"/>
      <c r="G68" s="35"/>
    </row>
    <row r="70" spans="1:28" ht="36.75" customHeight="1" x14ac:dyDescent="0.25">
      <c r="B70" s="361"/>
      <c r="C70" s="361"/>
      <c r="D70" s="361"/>
      <c r="E70" s="361"/>
      <c r="F70" s="361"/>
      <c r="G70" s="35"/>
    </row>
    <row r="72" spans="1:28" ht="51" customHeight="1" x14ac:dyDescent="0.25">
      <c r="B72" s="361"/>
      <c r="C72" s="361"/>
      <c r="D72" s="361"/>
      <c r="E72" s="361"/>
      <c r="F72" s="361"/>
      <c r="G72" s="35"/>
    </row>
    <row r="73" spans="1:28" ht="32.25" customHeight="1" x14ac:dyDescent="0.25">
      <c r="B73" s="361"/>
      <c r="C73" s="361"/>
      <c r="D73" s="361"/>
      <c r="E73" s="361"/>
      <c r="F73" s="361"/>
      <c r="G73" s="35"/>
    </row>
    <row r="74" spans="1:28" ht="51.75" customHeight="1" x14ac:dyDescent="0.25">
      <c r="B74" s="361"/>
      <c r="C74" s="361"/>
      <c r="D74" s="361"/>
      <c r="E74" s="361"/>
      <c r="F74" s="361"/>
      <c r="G74" s="35"/>
    </row>
    <row r="75" spans="1:28" ht="21.75" customHeight="1" x14ac:dyDescent="0.25">
      <c r="B75" s="367"/>
      <c r="C75" s="367"/>
      <c r="D75" s="367"/>
      <c r="E75" s="367"/>
      <c r="F75" s="367"/>
      <c r="G75" s="34"/>
    </row>
    <row r="76" spans="1:28" ht="23.25" customHeight="1" x14ac:dyDescent="0.25"/>
    <row r="77" spans="1:28" ht="18.75" customHeight="1" x14ac:dyDescent="0.25">
      <c r="B77" s="360"/>
      <c r="C77" s="360"/>
      <c r="D77" s="360"/>
      <c r="E77" s="360"/>
      <c r="F77" s="360"/>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honeticPr fontId="85" type="noConversion"/>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N1" zoomScale="70" zoomScaleSheetLayoutView="70" workbookViewId="0">
      <selection activeCell="R26" sqref="R26:AV26"/>
    </sheetView>
  </sheetViews>
  <sheetFormatPr defaultColWidth="9.140625" defaultRowHeight="15" x14ac:dyDescent="0.25"/>
  <cols>
    <col min="1" max="1" width="6.140625" style="142" customWidth="1"/>
    <col min="2" max="2" width="23.140625" style="128" customWidth="1"/>
    <col min="3" max="3" width="13.85546875" style="128" customWidth="1"/>
    <col min="4" max="4" width="15.140625" style="128" customWidth="1"/>
    <col min="5" max="12" width="7.7109375" style="128" customWidth="1"/>
    <col min="13" max="13" width="18" style="128" customWidth="1"/>
    <col min="14" max="14" width="53.28515625" style="128" customWidth="1"/>
    <col min="15" max="15" width="24.5703125" style="128" customWidth="1"/>
    <col min="16" max="16" width="23.140625" style="128" customWidth="1"/>
    <col min="17" max="17" width="21.85546875" style="128" customWidth="1"/>
    <col min="18" max="18" width="20.140625" style="128" customWidth="1"/>
    <col min="19" max="19" width="14.28515625" style="128" customWidth="1"/>
    <col min="20" max="20" width="12.42578125" style="128" customWidth="1"/>
    <col min="21" max="21" width="11.42578125" style="128" customWidth="1"/>
    <col min="22" max="22" width="12.7109375" style="128" customWidth="1"/>
    <col min="23" max="23" width="27.85546875" style="128" customWidth="1"/>
    <col min="24" max="24" width="21.28515625" style="128" customWidth="1"/>
    <col min="25" max="25" width="21.140625" style="128" customWidth="1"/>
    <col min="26" max="26" width="7.7109375" style="128" customWidth="1"/>
    <col min="27" max="27" width="23.28515625" style="128" customWidth="1"/>
    <col min="28" max="28" width="21.28515625" style="128" customWidth="1"/>
    <col min="29" max="29" width="28.5703125" style="128" customWidth="1"/>
    <col min="30" max="30" width="17.42578125" style="128" customWidth="1"/>
    <col min="31" max="31" width="25.7109375" style="128" customWidth="1"/>
    <col min="32" max="32" width="17.42578125" style="128" customWidth="1"/>
    <col min="33" max="33" width="17.28515625" style="128" customWidth="1"/>
    <col min="34" max="34" width="14.7109375" style="128" customWidth="1"/>
    <col min="35" max="35" width="15.42578125" style="128" customWidth="1"/>
    <col min="36" max="36" width="20" style="128" customWidth="1"/>
    <col min="37" max="37" width="19.85546875" style="128" customWidth="1"/>
    <col min="38" max="38" width="26.7109375" style="128" customWidth="1"/>
    <col min="39" max="39" width="20.140625" style="128" customWidth="1"/>
    <col min="40" max="40" width="16.140625" style="128" customWidth="1"/>
    <col min="41" max="41" width="16.5703125" style="128" customWidth="1"/>
    <col min="42" max="42" width="16.28515625" style="128" customWidth="1"/>
    <col min="43" max="43" width="17.140625" style="128" customWidth="1"/>
    <col min="44" max="44" width="18" style="128" customWidth="1"/>
    <col min="45" max="45" width="16.140625" style="128" customWidth="1"/>
    <col min="46" max="46" width="18" style="128" customWidth="1"/>
    <col min="47" max="47" width="16.28515625" style="128" customWidth="1"/>
    <col min="48" max="48" width="19.7109375" style="128" customWidth="1"/>
    <col min="49" max="16384" width="9.140625" style="128"/>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95" t="str">
        <f>'1. паспорт местоположение'!A5:C5</f>
        <v>Год раскрытия информации: 2024 год</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95"/>
      <c r="AQ5" s="295"/>
      <c r="AR5" s="295"/>
      <c r="AS5" s="295"/>
      <c r="AT5" s="295"/>
      <c r="AU5" s="295"/>
      <c r="AV5" s="295"/>
    </row>
    <row r="6" spans="1:48" ht="18.75" x14ac:dyDescent="0.3">
      <c r="AV6" s="12"/>
    </row>
    <row r="7" spans="1:48" ht="18.75" x14ac:dyDescent="0.25">
      <c r="A7" s="304" t="s">
        <v>7</v>
      </c>
      <c r="B7" s="304"/>
      <c r="C7" s="304"/>
      <c r="D7" s="304"/>
      <c r="E7" s="304"/>
      <c r="F7" s="304"/>
      <c r="G7" s="304"/>
      <c r="H7" s="304"/>
      <c r="I7" s="304"/>
      <c r="J7" s="304"/>
      <c r="K7" s="304"/>
      <c r="L7" s="304"/>
      <c r="M7" s="304"/>
      <c r="N7" s="304"/>
      <c r="O7" s="304"/>
      <c r="P7" s="304"/>
      <c r="Q7" s="304"/>
      <c r="R7" s="304"/>
      <c r="S7" s="304"/>
      <c r="T7" s="304"/>
      <c r="U7" s="304"/>
      <c r="V7" s="304"/>
      <c r="W7" s="304"/>
      <c r="X7" s="304"/>
      <c r="Y7" s="304"/>
      <c r="Z7" s="304"/>
      <c r="AA7" s="304"/>
      <c r="AB7" s="304"/>
      <c r="AC7" s="304"/>
      <c r="AD7" s="304"/>
      <c r="AE7" s="304"/>
      <c r="AF7" s="304"/>
      <c r="AG7" s="304"/>
      <c r="AH7" s="304"/>
      <c r="AI7" s="304"/>
      <c r="AJ7" s="304"/>
      <c r="AK7" s="304"/>
      <c r="AL7" s="304"/>
      <c r="AM7" s="304"/>
      <c r="AN7" s="304"/>
      <c r="AO7" s="304"/>
      <c r="AP7" s="304"/>
      <c r="AQ7" s="304"/>
      <c r="AR7" s="304"/>
      <c r="AS7" s="304"/>
      <c r="AT7" s="304"/>
      <c r="AU7" s="304"/>
      <c r="AV7" s="304"/>
    </row>
    <row r="8" spans="1:48" ht="18.75" x14ac:dyDescent="0.25">
      <c r="A8" s="304"/>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304"/>
      <c r="AB8" s="304"/>
      <c r="AC8" s="304"/>
      <c r="AD8" s="304"/>
      <c r="AE8" s="304"/>
      <c r="AF8" s="304"/>
      <c r="AG8" s="304"/>
      <c r="AH8" s="304"/>
      <c r="AI8" s="304"/>
      <c r="AJ8" s="304"/>
      <c r="AK8" s="304"/>
      <c r="AL8" s="304"/>
      <c r="AM8" s="304"/>
      <c r="AN8" s="304"/>
      <c r="AO8" s="304"/>
      <c r="AP8" s="304"/>
      <c r="AQ8" s="304"/>
      <c r="AR8" s="304"/>
      <c r="AS8" s="304"/>
      <c r="AT8" s="304"/>
      <c r="AU8" s="304"/>
      <c r="AV8" s="304"/>
    </row>
    <row r="9" spans="1:48" ht="15.75" x14ac:dyDescent="0.25">
      <c r="A9" s="302" t="str">
        <f>'1. паспорт местоположение'!A9:C9</f>
        <v xml:space="preserve">Акционерное общество "Западная энергетическая компания" </v>
      </c>
      <c r="B9" s="302"/>
      <c r="C9" s="302"/>
      <c r="D9" s="302"/>
      <c r="E9" s="302"/>
      <c r="F9" s="302"/>
      <c r="G9" s="302"/>
      <c r="H9" s="302"/>
      <c r="I9" s="302"/>
      <c r="J9" s="302"/>
      <c r="K9" s="302"/>
      <c r="L9" s="302"/>
      <c r="M9" s="302"/>
      <c r="N9" s="302"/>
      <c r="O9" s="302"/>
      <c r="P9" s="302"/>
      <c r="Q9" s="302"/>
      <c r="R9" s="302"/>
      <c r="S9" s="302"/>
      <c r="T9" s="302"/>
      <c r="U9" s="302"/>
      <c r="V9" s="302"/>
      <c r="W9" s="302"/>
      <c r="X9" s="302"/>
      <c r="Y9" s="302"/>
      <c r="Z9" s="302"/>
      <c r="AA9" s="302"/>
      <c r="AB9" s="302"/>
      <c r="AC9" s="302"/>
      <c r="AD9" s="302"/>
      <c r="AE9" s="302"/>
      <c r="AF9" s="302"/>
      <c r="AG9" s="302"/>
      <c r="AH9" s="302"/>
      <c r="AI9" s="302"/>
      <c r="AJ9" s="302"/>
      <c r="AK9" s="302"/>
      <c r="AL9" s="302"/>
      <c r="AM9" s="302"/>
      <c r="AN9" s="302"/>
      <c r="AO9" s="302"/>
      <c r="AP9" s="302"/>
      <c r="AQ9" s="302"/>
      <c r="AR9" s="302"/>
      <c r="AS9" s="302"/>
      <c r="AT9" s="302"/>
      <c r="AU9" s="302"/>
      <c r="AV9" s="302"/>
    </row>
    <row r="10" spans="1:48" ht="15.75" x14ac:dyDescent="0.25">
      <c r="A10" s="308" t="s">
        <v>6</v>
      </c>
      <c r="B10" s="308"/>
      <c r="C10" s="308"/>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308"/>
      <c r="AB10" s="308"/>
      <c r="AC10" s="308"/>
      <c r="AD10" s="308"/>
      <c r="AE10" s="308"/>
      <c r="AF10" s="308"/>
      <c r="AG10" s="308"/>
      <c r="AH10" s="308"/>
      <c r="AI10" s="308"/>
      <c r="AJ10" s="308"/>
      <c r="AK10" s="308"/>
      <c r="AL10" s="308"/>
      <c r="AM10" s="308"/>
      <c r="AN10" s="308"/>
      <c r="AO10" s="308"/>
      <c r="AP10" s="308"/>
      <c r="AQ10" s="308"/>
      <c r="AR10" s="308"/>
      <c r="AS10" s="308"/>
      <c r="AT10" s="308"/>
      <c r="AU10" s="308"/>
      <c r="AV10" s="308"/>
    </row>
    <row r="11" spans="1:48" ht="18.75" x14ac:dyDescent="0.25">
      <c r="A11" s="304"/>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c r="AB11" s="304"/>
      <c r="AC11" s="304"/>
      <c r="AD11" s="304"/>
      <c r="AE11" s="304"/>
      <c r="AF11" s="304"/>
      <c r="AG11" s="304"/>
      <c r="AH11" s="304"/>
      <c r="AI11" s="304"/>
      <c r="AJ11" s="304"/>
      <c r="AK11" s="304"/>
      <c r="AL11" s="304"/>
      <c r="AM11" s="304"/>
      <c r="AN11" s="304"/>
      <c r="AO11" s="304"/>
      <c r="AP11" s="304"/>
      <c r="AQ11" s="304"/>
      <c r="AR11" s="304"/>
      <c r="AS11" s="304"/>
      <c r="AT11" s="304"/>
      <c r="AU11" s="304"/>
      <c r="AV11" s="304"/>
    </row>
    <row r="12" spans="1:48" ht="15.75" x14ac:dyDescent="0.25">
      <c r="A12" s="302" t="str">
        <f>'1. паспорт местоположение'!A12:C12</f>
        <v>J_19-05</v>
      </c>
      <c r="B12" s="302"/>
      <c r="C12" s="302"/>
      <c r="D12" s="302"/>
      <c r="E12" s="302"/>
      <c r="F12" s="302"/>
      <c r="G12" s="302"/>
      <c r="H12" s="302"/>
      <c r="I12" s="302"/>
      <c r="J12" s="302"/>
      <c r="K12" s="302"/>
      <c r="L12" s="302"/>
      <c r="M12" s="302"/>
      <c r="N12" s="302"/>
      <c r="O12" s="302"/>
      <c r="P12" s="302"/>
      <c r="Q12" s="302"/>
      <c r="R12" s="302"/>
      <c r="S12" s="302"/>
      <c r="T12" s="302"/>
      <c r="U12" s="302"/>
      <c r="V12" s="302"/>
      <c r="W12" s="302"/>
      <c r="X12" s="302"/>
      <c r="Y12" s="302"/>
      <c r="Z12" s="302"/>
      <c r="AA12" s="302"/>
      <c r="AB12" s="302"/>
      <c r="AC12" s="302"/>
      <c r="AD12" s="302"/>
      <c r="AE12" s="302"/>
      <c r="AF12" s="302"/>
      <c r="AG12" s="302"/>
      <c r="AH12" s="302"/>
      <c r="AI12" s="302"/>
      <c r="AJ12" s="302"/>
      <c r="AK12" s="302"/>
      <c r="AL12" s="302"/>
      <c r="AM12" s="302"/>
      <c r="AN12" s="302"/>
      <c r="AO12" s="302"/>
      <c r="AP12" s="302"/>
      <c r="AQ12" s="302"/>
      <c r="AR12" s="302"/>
      <c r="AS12" s="302"/>
      <c r="AT12" s="302"/>
      <c r="AU12" s="302"/>
      <c r="AV12" s="302"/>
    </row>
    <row r="13" spans="1:48" ht="15.75" x14ac:dyDescent="0.25">
      <c r="A13" s="308" t="s">
        <v>5</v>
      </c>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308"/>
      <c r="AB13" s="308"/>
      <c r="AC13" s="308"/>
      <c r="AD13" s="308"/>
      <c r="AE13" s="308"/>
      <c r="AF13" s="308"/>
      <c r="AG13" s="308"/>
      <c r="AH13" s="308"/>
      <c r="AI13" s="308"/>
      <c r="AJ13" s="308"/>
      <c r="AK13" s="308"/>
      <c r="AL13" s="308"/>
      <c r="AM13" s="308"/>
      <c r="AN13" s="308"/>
      <c r="AO13" s="308"/>
      <c r="AP13" s="308"/>
      <c r="AQ13" s="308"/>
      <c r="AR13" s="308"/>
      <c r="AS13" s="308"/>
      <c r="AT13" s="308"/>
      <c r="AU13" s="308"/>
      <c r="AV13" s="308"/>
    </row>
    <row r="14" spans="1:48" ht="18.75" x14ac:dyDescent="0.25">
      <c r="A14" s="309"/>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09"/>
      <c r="AF14" s="309"/>
      <c r="AG14" s="309"/>
      <c r="AH14" s="309"/>
      <c r="AI14" s="309"/>
      <c r="AJ14" s="309"/>
      <c r="AK14" s="309"/>
      <c r="AL14" s="309"/>
      <c r="AM14" s="309"/>
      <c r="AN14" s="309"/>
      <c r="AO14" s="309"/>
      <c r="AP14" s="309"/>
      <c r="AQ14" s="309"/>
      <c r="AR14" s="309"/>
      <c r="AS14" s="309"/>
      <c r="AT14" s="309"/>
      <c r="AU14" s="309"/>
      <c r="AV14" s="309"/>
    </row>
    <row r="15" spans="1:48" ht="15.75" x14ac:dyDescent="0.25">
      <c r="A15" s="302"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5" s="302"/>
      <c r="C15" s="302"/>
      <c r="D15" s="302"/>
      <c r="E15" s="302"/>
      <c r="F15" s="302"/>
      <c r="G15" s="302"/>
      <c r="H15" s="302"/>
      <c r="I15" s="302"/>
      <c r="J15" s="302"/>
      <c r="K15" s="302"/>
      <c r="L15" s="302"/>
      <c r="M15" s="302"/>
      <c r="N15" s="302"/>
      <c r="O15" s="302"/>
      <c r="P15" s="302"/>
      <c r="Q15" s="302"/>
      <c r="R15" s="302"/>
      <c r="S15" s="302"/>
      <c r="T15" s="302"/>
      <c r="U15" s="302"/>
      <c r="V15" s="302"/>
      <c r="W15" s="302"/>
      <c r="X15" s="302"/>
      <c r="Y15" s="302"/>
      <c r="Z15" s="302"/>
      <c r="AA15" s="302"/>
      <c r="AB15" s="302"/>
      <c r="AC15" s="302"/>
      <c r="AD15" s="302"/>
      <c r="AE15" s="302"/>
      <c r="AF15" s="302"/>
      <c r="AG15" s="302"/>
      <c r="AH15" s="302"/>
      <c r="AI15" s="302"/>
      <c r="AJ15" s="302"/>
      <c r="AK15" s="302"/>
      <c r="AL15" s="302"/>
      <c r="AM15" s="302"/>
      <c r="AN15" s="302"/>
      <c r="AO15" s="302"/>
      <c r="AP15" s="302"/>
      <c r="AQ15" s="302"/>
      <c r="AR15" s="302"/>
      <c r="AS15" s="302"/>
      <c r="AT15" s="302"/>
      <c r="AU15" s="302"/>
      <c r="AV15" s="302"/>
    </row>
    <row r="16" spans="1:48" ht="15.75" x14ac:dyDescent="0.25">
      <c r="A16" s="308" t="s">
        <v>4</v>
      </c>
      <c r="B16" s="308"/>
      <c r="C16" s="308"/>
      <c r="D16" s="308"/>
      <c r="E16" s="308"/>
      <c r="F16" s="308"/>
      <c r="G16" s="308"/>
      <c r="H16" s="308"/>
      <c r="I16" s="308"/>
      <c r="J16" s="308"/>
      <c r="K16" s="308"/>
      <c r="L16" s="308"/>
      <c r="M16" s="308"/>
      <c r="N16" s="308"/>
      <c r="O16" s="308"/>
      <c r="P16" s="308"/>
      <c r="Q16" s="308"/>
      <c r="R16" s="308"/>
      <c r="S16" s="308"/>
      <c r="T16" s="308"/>
      <c r="U16" s="308"/>
      <c r="V16" s="308"/>
      <c r="W16" s="308"/>
      <c r="X16" s="308"/>
      <c r="Y16" s="308"/>
      <c r="Z16" s="308"/>
      <c r="AA16" s="308"/>
      <c r="AB16" s="308"/>
      <c r="AC16" s="308"/>
      <c r="AD16" s="308"/>
      <c r="AE16" s="308"/>
      <c r="AF16" s="308"/>
      <c r="AG16" s="308"/>
      <c r="AH16" s="308"/>
      <c r="AI16" s="308"/>
      <c r="AJ16" s="308"/>
      <c r="AK16" s="308"/>
      <c r="AL16" s="308"/>
      <c r="AM16" s="308"/>
      <c r="AN16" s="308"/>
      <c r="AO16" s="308"/>
      <c r="AP16" s="308"/>
      <c r="AQ16" s="308"/>
      <c r="AR16" s="308"/>
      <c r="AS16" s="308"/>
      <c r="AT16" s="308"/>
      <c r="AU16" s="308"/>
      <c r="AV16" s="308"/>
    </row>
    <row r="17" spans="1:4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c r="AC17" s="330"/>
      <c r="AD17" s="330"/>
      <c r="AE17" s="330"/>
      <c r="AF17" s="330"/>
      <c r="AG17" s="330"/>
      <c r="AH17" s="330"/>
      <c r="AI17" s="330"/>
      <c r="AJ17" s="330"/>
      <c r="AK17" s="330"/>
      <c r="AL17" s="330"/>
      <c r="AM17" s="330"/>
      <c r="AN17" s="330"/>
      <c r="AO17" s="330"/>
      <c r="AP17" s="330"/>
      <c r="AQ17" s="330"/>
      <c r="AR17" s="330"/>
      <c r="AS17" s="330"/>
      <c r="AT17" s="330"/>
      <c r="AU17" s="330"/>
      <c r="AV17" s="330"/>
    </row>
    <row r="18" spans="1:48" ht="14.25" customHeight="1"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330"/>
      <c r="AB18" s="330"/>
      <c r="AC18" s="330"/>
      <c r="AD18" s="330"/>
      <c r="AE18" s="330"/>
      <c r="AF18" s="330"/>
      <c r="AG18" s="330"/>
      <c r="AH18" s="330"/>
      <c r="AI18" s="330"/>
      <c r="AJ18" s="330"/>
      <c r="AK18" s="330"/>
      <c r="AL18" s="330"/>
      <c r="AM18" s="330"/>
      <c r="AN18" s="330"/>
      <c r="AO18" s="330"/>
      <c r="AP18" s="330"/>
      <c r="AQ18" s="330"/>
      <c r="AR18" s="330"/>
      <c r="AS18" s="330"/>
      <c r="AT18" s="330"/>
      <c r="AU18" s="330"/>
      <c r="AV18" s="330"/>
    </row>
    <row r="19" spans="1:48"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330"/>
      <c r="AB19" s="330"/>
      <c r="AC19" s="330"/>
      <c r="AD19" s="330"/>
      <c r="AE19" s="330"/>
      <c r="AF19" s="330"/>
      <c r="AG19" s="330"/>
      <c r="AH19" s="330"/>
      <c r="AI19" s="330"/>
      <c r="AJ19" s="330"/>
      <c r="AK19" s="330"/>
      <c r="AL19" s="330"/>
      <c r="AM19" s="330"/>
      <c r="AN19" s="330"/>
      <c r="AO19" s="330"/>
      <c r="AP19" s="330"/>
      <c r="AQ19" s="330"/>
      <c r="AR19" s="330"/>
      <c r="AS19" s="330"/>
      <c r="AT19" s="330"/>
      <c r="AU19" s="330"/>
      <c r="AV19" s="330"/>
    </row>
    <row r="20" spans="1:48"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330"/>
      <c r="AB20" s="330"/>
      <c r="AC20" s="330"/>
      <c r="AD20" s="330"/>
      <c r="AE20" s="330"/>
      <c r="AF20" s="330"/>
      <c r="AG20" s="330"/>
      <c r="AH20" s="330"/>
      <c r="AI20" s="330"/>
      <c r="AJ20" s="330"/>
      <c r="AK20" s="330"/>
      <c r="AL20" s="330"/>
      <c r="AM20" s="330"/>
      <c r="AN20" s="330"/>
      <c r="AO20" s="330"/>
      <c r="AP20" s="330"/>
      <c r="AQ20" s="330"/>
      <c r="AR20" s="330"/>
      <c r="AS20" s="330"/>
      <c r="AT20" s="330"/>
      <c r="AU20" s="330"/>
      <c r="AV20" s="330"/>
    </row>
    <row r="21" spans="1:48" x14ac:dyDescent="0.25">
      <c r="A21" s="401" t="s">
        <v>405</v>
      </c>
      <c r="B21" s="401"/>
      <c r="C21" s="401"/>
      <c r="D21" s="401"/>
      <c r="E21" s="401"/>
      <c r="F21" s="401"/>
      <c r="G21" s="401"/>
      <c r="H21" s="401"/>
      <c r="I21" s="401"/>
      <c r="J21" s="401"/>
      <c r="K21" s="401"/>
      <c r="L21" s="401"/>
      <c r="M21" s="401"/>
      <c r="N21" s="401"/>
      <c r="O21" s="401"/>
      <c r="P21" s="401"/>
      <c r="Q21" s="401"/>
      <c r="R21" s="401"/>
      <c r="S21" s="401"/>
      <c r="T21" s="401"/>
      <c r="U21" s="401"/>
      <c r="V21" s="401"/>
      <c r="W21" s="401"/>
      <c r="X21" s="401"/>
      <c r="Y21" s="401"/>
      <c r="Z21" s="401"/>
      <c r="AA21" s="401"/>
      <c r="AB21" s="401"/>
      <c r="AC21" s="401"/>
      <c r="AD21" s="401"/>
      <c r="AE21" s="401"/>
      <c r="AF21" s="401"/>
      <c r="AG21" s="401"/>
      <c r="AH21" s="401"/>
      <c r="AI21" s="401"/>
      <c r="AJ21" s="401"/>
      <c r="AK21" s="401"/>
      <c r="AL21" s="401"/>
      <c r="AM21" s="401"/>
      <c r="AN21" s="401"/>
      <c r="AO21" s="401"/>
      <c r="AP21" s="401"/>
      <c r="AQ21" s="401"/>
      <c r="AR21" s="401"/>
      <c r="AS21" s="401"/>
      <c r="AT21" s="401"/>
      <c r="AU21" s="401"/>
      <c r="AV21" s="401"/>
    </row>
    <row r="22" spans="1:48" ht="58.5" customHeight="1" x14ac:dyDescent="0.25">
      <c r="A22" s="402" t="s">
        <v>50</v>
      </c>
      <c r="B22" s="406" t="s">
        <v>22</v>
      </c>
      <c r="C22" s="392" t="s">
        <v>49</v>
      </c>
      <c r="D22" s="392" t="s">
        <v>48</v>
      </c>
      <c r="E22" s="409" t="s">
        <v>415</v>
      </c>
      <c r="F22" s="410"/>
      <c r="G22" s="410"/>
      <c r="H22" s="410"/>
      <c r="I22" s="410"/>
      <c r="J22" s="410"/>
      <c r="K22" s="410"/>
      <c r="L22" s="411"/>
      <c r="M22" s="392" t="s">
        <v>47</v>
      </c>
      <c r="N22" s="392" t="s">
        <v>46</v>
      </c>
      <c r="O22" s="392" t="s">
        <v>45</v>
      </c>
      <c r="P22" s="387" t="s">
        <v>227</v>
      </c>
      <c r="Q22" s="387" t="s">
        <v>44</v>
      </c>
      <c r="R22" s="387" t="s">
        <v>43</v>
      </c>
      <c r="S22" s="387" t="s">
        <v>42</v>
      </c>
      <c r="T22" s="387"/>
      <c r="U22" s="394" t="s">
        <v>41</v>
      </c>
      <c r="V22" s="394" t="s">
        <v>40</v>
      </c>
      <c r="W22" s="387" t="s">
        <v>39</v>
      </c>
      <c r="X22" s="387" t="s">
        <v>38</v>
      </c>
      <c r="Y22" s="387" t="s">
        <v>37</v>
      </c>
      <c r="Z22" s="394" t="s">
        <v>36</v>
      </c>
      <c r="AA22" s="387" t="s">
        <v>35</v>
      </c>
      <c r="AB22" s="387" t="s">
        <v>34</v>
      </c>
      <c r="AC22" s="387" t="s">
        <v>33</v>
      </c>
      <c r="AD22" s="387" t="s">
        <v>32</v>
      </c>
      <c r="AE22" s="387" t="s">
        <v>31</v>
      </c>
      <c r="AF22" s="387" t="s">
        <v>30</v>
      </c>
      <c r="AG22" s="387"/>
      <c r="AH22" s="387"/>
      <c r="AI22" s="387"/>
      <c r="AJ22" s="387"/>
      <c r="AK22" s="387"/>
      <c r="AL22" s="387" t="s">
        <v>29</v>
      </c>
      <c r="AM22" s="387"/>
      <c r="AN22" s="387"/>
      <c r="AO22" s="387"/>
      <c r="AP22" s="387" t="s">
        <v>28</v>
      </c>
      <c r="AQ22" s="387"/>
      <c r="AR22" s="387" t="s">
        <v>27</v>
      </c>
      <c r="AS22" s="387" t="s">
        <v>26</v>
      </c>
      <c r="AT22" s="387" t="s">
        <v>25</v>
      </c>
      <c r="AU22" s="387" t="s">
        <v>24</v>
      </c>
      <c r="AV22" s="395" t="s">
        <v>23</v>
      </c>
    </row>
    <row r="23" spans="1:48" ht="64.5" customHeight="1" x14ac:dyDescent="0.25">
      <c r="A23" s="403"/>
      <c r="B23" s="407"/>
      <c r="C23" s="405"/>
      <c r="D23" s="405"/>
      <c r="E23" s="397" t="s">
        <v>21</v>
      </c>
      <c r="F23" s="388" t="s">
        <v>126</v>
      </c>
      <c r="G23" s="388" t="s">
        <v>125</v>
      </c>
      <c r="H23" s="388" t="s">
        <v>124</v>
      </c>
      <c r="I23" s="390" t="s">
        <v>352</v>
      </c>
      <c r="J23" s="390" t="s">
        <v>353</v>
      </c>
      <c r="K23" s="390" t="s">
        <v>354</v>
      </c>
      <c r="L23" s="388" t="s">
        <v>74</v>
      </c>
      <c r="M23" s="405"/>
      <c r="N23" s="405"/>
      <c r="O23" s="405"/>
      <c r="P23" s="387"/>
      <c r="Q23" s="387"/>
      <c r="R23" s="387"/>
      <c r="S23" s="399" t="s">
        <v>2</v>
      </c>
      <c r="T23" s="399" t="s">
        <v>9</v>
      </c>
      <c r="U23" s="394"/>
      <c r="V23" s="394"/>
      <c r="W23" s="387"/>
      <c r="X23" s="387"/>
      <c r="Y23" s="387"/>
      <c r="Z23" s="387"/>
      <c r="AA23" s="387"/>
      <c r="AB23" s="387"/>
      <c r="AC23" s="387"/>
      <c r="AD23" s="387"/>
      <c r="AE23" s="387"/>
      <c r="AF23" s="387" t="s">
        <v>20</v>
      </c>
      <c r="AG23" s="387"/>
      <c r="AH23" s="387" t="s">
        <v>19</v>
      </c>
      <c r="AI23" s="387"/>
      <c r="AJ23" s="392" t="s">
        <v>18</v>
      </c>
      <c r="AK23" s="392" t="s">
        <v>17</v>
      </c>
      <c r="AL23" s="392" t="s">
        <v>16</v>
      </c>
      <c r="AM23" s="392" t="s">
        <v>15</v>
      </c>
      <c r="AN23" s="392" t="s">
        <v>14</v>
      </c>
      <c r="AO23" s="392" t="s">
        <v>13</v>
      </c>
      <c r="AP23" s="392" t="s">
        <v>12</v>
      </c>
      <c r="AQ23" s="392" t="s">
        <v>9</v>
      </c>
      <c r="AR23" s="387"/>
      <c r="AS23" s="387"/>
      <c r="AT23" s="387"/>
      <c r="AU23" s="387"/>
      <c r="AV23" s="396"/>
    </row>
    <row r="24" spans="1:48" ht="96.75" customHeight="1" x14ac:dyDescent="0.25">
      <c r="A24" s="404"/>
      <c r="B24" s="408"/>
      <c r="C24" s="393"/>
      <c r="D24" s="393"/>
      <c r="E24" s="398"/>
      <c r="F24" s="389"/>
      <c r="G24" s="389"/>
      <c r="H24" s="389"/>
      <c r="I24" s="391"/>
      <c r="J24" s="391"/>
      <c r="K24" s="391"/>
      <c r="L24" s="389"/>
      <c r="M24" s="393"/>
      <c r="N24" s="393"/>
      <c r="O24" s="393"/>
      <c r="P24" s="387"/>
      <c r="Q24" s="387"/>
      <c r="R24" s="387"/>
      <c r="S24" s="400"/>
      <c r="T24" s="400"/>
      <c r="U24" s="394"/>
      <c r="V24" s="394"/>
      <c r="W24" s="387"/>
      <c r="X24" s="387"/>
      <c r="Y24" s="387"/>
      <c r="Z24" s="387"/>
      <c r="AA24" s="387"/>
      <c r="AB24" s="387"/>
      <c r="AC24" s="387"/>
      <c r="AD24" s="387"/>
      <c r="AE24" s="387"/>
      <c r="AF24" s="143" t="s">
        <v>11</v>
      </c>
      <c r="AG24" s="143" t="s">
        <v>10</v>
      </c>
      <c r="AH24" s="144" t="s">
        <v>2</v>
      </c>
      <c r="AI24" s="144" t="s">
        <v>9</v>
      </c>
      <c r="AJ24" s="393"/>
      <c r="AK24" s="393"/>
      <c r="AL24" s="393"/>
      <c r="AM24" s="393"/>
      <c r="AN24" s="393"/>
      <c r="AO24" s="393"/>
      <c r="AP24" s="393"/>
      <c r="AQ24" s="393"/>
      <c r="AR24" s="387"/>
      <c r="AS24" s="387"/>
      <c r="AT24" s="387"/>
      <c r="AU24" s="387"/>
      <c r="AV24" s="396"/>
    </row>
    <row r="25" spans="1:48" s="147" customFormat="1" ht="11.25" x14ac:dyDescent="0.2">
      <c r="A25" s="145">
        <v>1</v>
      </c>
      <c r="B25" s="146">
        <v>2</v>
      </c>
      <c r="C25" s="146">
        <v>4</v>
      </c>
      <c r="D25" s="146">
        <v>5</v>
      </c>
      <c r="E25" s="146">
        <v>6</v>
      </c>
      <c r="F25" s="146">
        <f>E25+1</f>
        <v>7</v>
      </c>
      <c r="G25" s="146">
        <f t="shared" ref="G25:H25" si="0">F25+1</f>
        <v>8</v>
      </c>
      <c r="H25" s="146">
        <f t="shared" si="0"/>
        <v>9</v>
      </c>
      <c r="I25" s="146">
        <f t="shared" ref="I25" si="1">H25+1</f>
        <v>10</v>
      </c>
      <c r="J25" s="146">
        <f t="shared" ref="J25" si="2">I25+1</f>
        <v>11</v>
      </c>
      <c r="K25" s="146">
        <f t="shared" ref="K25" si="3">J25+1</f>
        <v>12</v>
      </c>
      <c r="L25" s="146">
        <f t="shared" ref="L25" si="4">K25+1</f>
        <v>13</v>
      </c>
      <c r="M25" s="146">
        <f t="shared" ref="M25" si="5">L25+1</f>
        <v>14</v>
      </c>
      <c r="N25" s="146">
        <f t="shared" ref="N25" si="6">M25+1</f>
        <v>15</v>
      </c>
      <c r="O25" s="146">
        <f t="shared" ref="O25" si="7">N25+1</f>
        <v>16</v>
      </c>
      <c r="P25" s="146">
        <f t="shared" ref="P25" si="8">O25+1</f>
        <v>17</v>
      </c>
      <c r="Q25" s="146">
        <f t="shared" ref="Q25" si="9">P25+1</f>
        <v>18</v>
      </c>
      <c r="R25" s="146">
        <f t="shared" ref="R25" si="10">Q25+1</f>
        <v>19</v>
      </c>
      <c r="S25" s="146">
        <f t="shared" ref="S25" si="11">R25+1</f>
        <v>20</v>
      </c>
      <c r="T25" s="146">
        <f t="shared" ref="T25" si="12">S25+1</f>
        <v>21</v>
      </c>
      <c r="U25" s="146">
        <f t="shared" ref="U25" si="13">T25+1</f>
        <v>22</v>
      </c>
      <c r="V25" s="146">
        <f t="shared" ref="V25" si="14">U25+1</f>
        <v>23</v>
      </c>
      <c r="W25" s="146">
        <f t="shared" ref="W25" si="15">V25+1</f>
        <v>24</v>
      </c>
      <c r="X25" s="146">
        <f t="shared" ref="X25" si="16">W25+1</f>
        <v>25</v>
      </c>
      <c r="Y25" s="146">
        <f t="shared" ref="Y25" si="17">X25+1</f>
        <v>26</v>
      </c>
      <c r="Z25" s="146">
        <f t="shared" ref="Z25" si="18">Y25+1</f>
        <v>27</v>
      </c>
      <c r="AA25" s="146">
        <f t="shared" ref="AA25" si="19">Z25+1</f>
        <v>28</v>
      </c>
      <c r="AB25" s="146">
        <f t="shared" ref="AB25" si="20">AA25+1</f>
        <v>29</v>
      </c>
      <c r="AC25" s="146">
        <f t="shared" ref="AC25" si="21">AB25+1</f>
        <v>30</v>
      </c>
      <c r="AD25" s="146">
        <f t="shared" ref="AD25" si="22">AC25+1</f>
        <v>31</v>
      </c>
      <c r="AE25" s="146">
        <f t="shared" ref="AE25" si="23">AD25+1</f>
        <v>32</v>
      </c>
      <c r="AF25" s="146">
        <f t="shared" ref="AF25" si="24">AE25+1</f>
        <v>33</v>
      </c>
      <c r="AG25" s="146">
        <f t="shared" ref="AG25" si="25">AF25+1</f>
        <v>34</v>
      </c>
      <c r="AH25" s="146">
        <f t="shared" ref="AH25" si="26">AG25+1</f>
        <v>35</v>
      </c>
      <c r="AI25" s="146">
        <f t="shared" ref="AI25" si="27">AH25+1</f>
        <v>36</v>
      </c>
      <c r="AJ25" s="146">
        <f t="shared" ref="AJ25" si="28">AI25+1</f>
        <v>37</v>
      </c>
      <c r="AK25" s="146">
        <f t="shared" ref="AK25" si="29">AJ25+1</f>
        <v>38</v>
      </c>
      <c r="AL25" s="146">
        <f t="shared" ref="AL25" si="30">AK25+1</f>
        <v>39</v>
      </c>
      <c r="AM25" s="146">
        <f t="shared" ref="AM25" si="31">AL25+1</f>
        <v>40</v>
      </c>
      <c r="AN25" s="146">
        <f t="shared" ref="AN25" si="32">AM25+1</f>
        <v>41</v>
      </c>
      <c r="AO25" s="146">
        <f t="shared" ref="AO25" si="33">AN25+1</f>
        <v>42</v>
      </c>
      <c r="AP25" s="146">
        <f t="shared" ref="AP25" si="34">AO25+1</f>
        <v>43</v>
      </c>
      <c r="AQ25" s="146">
        <f t="shared" ref="AQ25" si="35">AP25+1</f>
        <v>44</v>
      </c>
      <c r="AR25" s="146">
        <f t="shared" ref="AR25" si="36">AQ25+1</f>
        <v>45</v>
      </c>
      <c r="AS25" s="146">
        <f t="shared" ref="AS25" si="37">AR25+1</f>
        <v>46</v>
      </c>
      <c r="AT25" s="146">
        <f t="shared" ref="AT25" si="38">AS25+1</f>
        <v>47</v>
      </c>
      <c r="AU25" s="146">
        <f t="shared" ref="AU25" si="39">AT25+1</f>
        <v>48</v>
      </c>
      <c r="AV25" s="146">
        <f t="shared" ref="AV25" si="40">AU25+1</f>
        <v>49</v>
      </c>
    </row>
    <row r="26" spans="1:48" s="151" customFormat="1" ht="63" x14ac:dyDescent="0.25">
      <c r="A26" s="148">
        <v>1</v>
      </c>
      <c r="B26" s="149" t="str">
        <f>A9</f>
        <v xml:space="preserve">Акционерное общество "Западная энергетическая компания" </v>
      </c>
      <c r="C26" s="149" t="s">
        <v>62</v>
      </c>
      <c r="D26" s="161">
        <f>'6.1. Паспорт сетевой график'!D53</f>
        <v>45386</v>
      </c>
      <c r="E26" s="149"/>
      <c r="F26" s="149"/>
      <c r="G26" s="149">
        <v>0.1</v>
      </c>
      <c r="H26" s="149"/>
      <c r="I26" s="149"/>
      <c r="J26" s="149"/>
      <c r="K26" s="149"/>
      <c r="L26" s="149">
        <v>24</v>
      </c>
      <c r="M26" s="149" t="s">
        <v>583</v>
      </c>
      <c r="N26" s="149" t="s">
        <v>548</v>
      </c>
      <c r="O26" s="150" t="str">
        <f>B26</f>
        <v xml:space="preserve">Акционерное общество "Западная энергетическая компания" </v>
      </c>
      <c r="P26" s="150"/>
      <c r="Q26" s="149"/>
      <c r="R26" s="150" t="s">
        <v>537</v>
      </c>
      <c r="S26" s="150" t="s">
        <v>537</v>
      </c>
      <c r="T26" s="150" t="s">
        <v>537</v>
      </c>
      <c r="U26" s="150" t="s">
        <v>537</v>
      </c>
      <c r="V26" s="150" t="s">
        <v>537</v>
      </c>
      <c r="W26" s="150" t="s">
        <v>537</v>
      </c>
      <c r="X26" s="150" t="s">
        <v>537</v>
      </c>
      <c r="Y26" s="150" t="s">
        <v>537</v>
      </c>
      <c r="Z26" s="150" t="s">
        <v>537</v>
      </c>
      <c r="AA26" s="150" t="s">
        <v>537</v>
      </c>
      <c r="AB26" s="150" t="s">
        <v>537</v>
      </c>
      <c r="AC26" s="150" t="s">
        <v>537</v>
      </c>
      <c r="AD26" s="150" t="s">
        <v>537</v>
      </c>
      <c r="AE26" s="150" t="s">
        <v>537</v>
      </c>
      <c r="AF26" s="150" t="s">
        <v>537</v>
      </c>
      <c r="AG26" s="150" t="s">
        <v>537</v>
      </c>
      <c r="AH26" s="150" t="s">
        <v>537</v>
      </c>
      <c r="AI26" s="150" t="s">
        <v>537</v>
      </c>
      <c r="AJ26" s="150" t="s">
        <v>537</v>
      </c>
      <c r="AK26" s="150" t="s">
        <v>537</v>
      </c>
      <c r="AL26" s="150" t="s">
        <v>537</v>
      </c>
      <c r="AM26" s="150" t="s">
        <v>537</v>
      </c>
      <c r="AN26" s="150" t="s">
        <v>537</v>
      </c>
      <c r="AO26" s="150" t="s">
        <v>537</v>
      </c>
      <c r="AP26" s="150" t="s">
        <v>537</v>
      </c>
      <c r="AQ26" s="150" t="s">
        <v>537</v>
      </c>
      <c r="AR26" s="150" t="s">
        <v>537</v>
      </c>
      <c r="AS26" s="150" t="s">
        <v>537</v>
      </c>
      <c r="AT26" s="150" t="s">
        <v>537</v>
      </c>
      <c r="AU26" s="150" t="s">
        <v>537</v>
      </c>
      <c r="AV26" s="150" t="s">
        <v>537</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37" zoomScale="90" zoomScaleNormal="90" zoomScaleSheetLayoutView="90" workbookViewId="0">
      <selection activeCell="A15" sqref="A15:B15"/>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421</v>
      </c>
    </row>
    <row r="4" spans="1:8" x14ac:dyDescent="0.25">
      <c r="B4" s="24"/>
    </row>
    <row r="5" spans="1:8" ht="18.75" x14ac:dyDescent="0.3">
      <c r="A5" s="418" t="str">
        <f>'1. паспорт местоположение'!A5:C5</f>
        <v>Год раскрытия информации: 2024 год</v>
      </c>
      <c r="B5" s="418"/>
      <c r="C5" s="52"/>
      <c r="D5" s="52"/>
      <c r="E5" s="52"/>
      <c r="F5" s="52"/>
      <c r="G5" s="52"/>
      <c r="H5" s="52"/>
    </row>
    <row r="6" spans="1:8" ht="18.75" x14ac:dyDescent="0.3">
      <c r="A6" s="85"/>
      <c r="B6" s="85"/>
      <c r="C6" s="85"/>
      <c r="D6" s="85"/>
      <c r="E6" s="85"/>
      <c r="F6" s="85"/>
      <c r="G6" s="85"/>
      <c r="H6" s="85"/>
    </row>
    <row r="7" spans="1:8" ht="18.75" x14ac:dyDescent="0.25">
      <c r="A7" s="304" t="s">
        <v>7</v>
      </c>
      <c r="B7" s="304"/>
      <c r="C7" s="110"/>
      <c r="D7" s="110"/>
      <c r="E7" s="110"/>
      <c r="F7" s="110"/>
      <c r="G7" s="110"/>
      <c r="H7" s="110"/>
    </row>
    <row r="8" spans="1:8" ht="18.75" x14ac:dyDescent="0.25">
      <c r="A8" s="110"/>
      <c r="B8" s="110"/>
      <c r="C8" s="110"/>
      <c r="D8" s="110"/>
      <c r="E8" s="110"/>
      <c r="F8" s="110"/>
      <c r="G8" s="110"/>
      <c r="H8" s="110"/>
    </row>
    <row r="9" spans="1:8" x14ac:dyDescent="0.25">
      <c r="A9" s="302" t="str">
        <f>'1. паспорт местоположение'!A9:C9</f>
        <v xml:space="preserve">Акционерное общество "Западная энергетическая компания" </v>
      </c>
      <c r="B9" s="302"/>
      <c r="C9" s="112"/>
      <c r="D9" s="112"/>
      <c r="E9" s="112"/>
      <c r="F9" s="112"/>
      <c r="G9" s="112"/>
      <c r="H9" s="112"/>
    </row>
    <row r="10" spans="1:8" x14ac:dyDescent="0.25">
      <c r="A10" s="308" t="s">
        <v>6</v>
      </c>
      <c r="B10" s="308"/>
      <c r="C10" s="113"/>
      <c r="D10" s="113"/>
      <c r="E10" s="113"/>
      <c r="F10" s="113"/>
      <c r="G10" s="113"/>
      <c r="H10" s="113"/>
    </row>
    <row r="11" spans="1:8" ht="18.75" x14ac:dyDescent="0.25">
      <c r="A11" s="110"/>
      <c r="B11" s="110"/>
      <c r="C11" s="110"/>
      <c r="D11" s="110"/>
      <c r="E11" s="110"/>
      <c r="F11" s="110"/>
      <c r="G11" s="110"/>
      <c r="H11" s="110"/>
    </row>
    <row r="12" spans="1:8" ht="30.75" customHeight="1" x14ac:dyDescent="0.25">
      <c r="A12" s="302" t="str">
        <f>'1. паспорт местоположение'!A12:C12</f>
        <v>J_19-05</v>
      </c>
      <c r="B12" s="302"/>
      <c r="C12" s="112"/>
      <c r="D12" s="112"/>
      <c r="E12" s="112"/>
      <c r="F12" s="112"/>
      <c r="G12" s="112"/>
      <c r="H12" s="112"/>
    </row>
    <row r="13" spans="1:8" x14ac:dyDescent="0.25">
      <c r="A13" s="308" t="s">
        <v>5</v>
      </c>
      <c r="B13" s="308"/>
      <c r="C13" s="113"/>
      <c r="D13" s="113"/>
      <c r="E13" s="113"/>
      <c r="F13" s="113"/>
      <c r="G13" s="113"/>
      <c r="H13" s="113"/>
    </row>
    <row r="14" spans="1:8" ht="18.75" x14ac:dyDescent="0.25">
      <c r="A14" s="127"/>
      <c r="B14" s="127"/>
      <c r="C14" s="127"/>
      <c r="D14" s="127"/>
      <c r="E14" s="127"/>
      <c r="F14" s="127"/>
      <c r="G14" s="127"/>
      <c r="H14" s="127"/>
    </row>
    <row r="15" spans="1:8" ht="63.6" customHeight="1" x14ac:dyDescent="0.25">
      <c r="A15" s="412"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5" s="412"/>
      <c r="C15" s="112"/>
      <c r="D15" s="112"/>
      <c r="E15" s="112"/>
      <c r="F15" s="112"/>
      <c r="G15" s="112"/>
      <c r="H15" s="112"/>
    </row>
    <row r="16" spans="1:8" x14ac:dyDescent="0.25">
      <c r="A16" s="308" t="s">
        <v>4</v>
      </c>
      <c r="B16" s="308"/>
      <c r="C16" s="113"/>
      <c r="D16" s="113"/>
      <c r="E16" s="113"/>
      <c r="F16" s="113"/>
      <c r="G16" s="113"/>
      <c r="H16" s="113"/>
    </row>
    <row r="17" spans="1:2" x14ac:dyDescent="0.25">
      <c r="B17" s="59"/>
    </row>
    <row r="18" spans="1:2" ht="33.75" customHeight="1" x14ac:dyDescent="0.25">
      <c r="A18" s="413" t="s">
        <v>406</v>
      </c>
      <c r="B18" s="414"/>
    </row>
    <row r="19" spans="1:2" x14ac:dyDescent="0.25">
      <c r="B19" s="24"/>
    </row>
    <row r="20" spans="1:2" ht="16.5" thickBot="1" x14ac:dyDescent="0.3">
      <c r="B20" s="60"/>
    </row>
    <row r="21" spans="1:2" ht="69" customHeight="1" thickBot="1" x14ac:dyDescent="0.3">
      <c r="A21" s="61" t="s">
        <v>303</v>
      </c>
      <c r="B21" s="104" t="str">
        <f>A15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row>
    <row r="22" spans="1:2" ht="30" customHeight="1" thickBot="1" x14ac:dyDescent="0.3">
      <c r="A22" s="61" t="s">
        <v>304</v>
      </c>
      <c r="B22" s="190" t="s">
        <v>559</v>
      </c>
    </row>
    <row r="23" spans="1:2" ht="16.5" thickBot="1" x14ac:dyDescent="0.3">
      <c r="A23" s="61" t="s">
        <v>288</v>
      </c>
      <c r="B23" s="63" t="s">
        <v>543</v>
      </c>
    </row>
    <row r="24" spans="1:2" ht="16.5" thickBot="1" x14ac:dyDescent="0.3">
      <c r="A24" s="61" t="s">
        <v>305</v>
      </c>
      <c r="B24" s="63" t="s">
        <v>584</v>
      </c>
    </row>
    <row r="25" spans="1:2" ht="16.5" thickBot="1" x14ac:dyDescent="0.3">
      <c r="A25" s="64" t="s">
        <v>306</v>
      </c>
      <c r="B25" s="62">
        <v>2024</v>
      </c>
    </row>
    <row r="26" spans="1:2" ht="16.5" thickBot="1" x14ac:dyDescent="0.3">
      <c r="A26" s="65" t="s">
        <v>307</v>
      </c>
      <c r="B26" s="102" t="s">
        <v>589</v>
      </c>
    </row>
    <row r="27" spans="1:2" ht="29.25" thickBot="1" x14ac:dyDescent="0.3">
      <c r="A27" s="72" t="s">
        <v>586</v>
      </c>
      <c r="B27" s="103">
        <f>'6.2. Паспорт фин осв ввод'!D24</f>
        <v>88.959179651487531</v>
      </c>
    </row>
    <row r="28" spans="1:2" ht="42" customHeight="1" thickBot="1" x14ac:dyDescent="0.3">
      <c r="A28" s="67" t="s">
        <v>308</v>
      </c>
      <c r="B28" s="67" t="s">
        <v>549</v>
      </c>
    </row>
    <row r="29" spans="1:2" ht="29.25" thickBot="1" x14ac:dyDescent="0.3">
      <c r="A29" s="73" t="s">
        <v>309</v>
      </c>
      <c r="B29" s="103"/>
    </row>
    <row r="30" spans="1:2" ht="29.25" thickBot="1" x14ac:dyDescent="0.3">
      <c r="A30" s="73" t="s">
        <v>310</v>
      </c>
      <c r="B30" s="103"/>
    </row>
    <row r="31" spans="1:2" ht="16.5" thickBot="1" x14ac:dyDescent="0.3">
      <c r="A31" s="67" t="s">
        <v>311</v>
      </c>
      <c r="B31" s="103"/>
    </row>
    <row r="32" spans="1:2" ht="29.25" thickBot="1" x14ac:dyDescent="0.3">
      <c r="A32" s="73" t="s">
        <v>312</v>
      </c>
      <c r="B32" s="103"/>
    </row>
    <row r="33" spans="1:3" s="152" customFormat="1" ht="16.5" thickBot="1" x14ac:dyDescent="0.3">
      <c r="A33" s="159"/>
      <c r="B33" s="160"/>
      <c r="C33" s="152">
        <v>10</v>
      </c>
    </row>
    <row r="34" spans="1:3" ht="16.5" thickBot="1" x14ac:dyDescent="0.3">
      <c r="A34" s="67" t="s">
        <v>314</v>
      </c>
      <c r="B34" s="93"/>
    </row>
    <row r="35" spans="1:3" ht="16.5" thickBot="1" x14ac:dyDescent="0.3">
      <c r="A35" s="67" t="s">
        <v>315</v>
      </c>
      <c r="B35" s="103"/>
      <c r="C35" s="32">
        <v>1</v>
      </c>
    </row>
    <row r="36" spans="1:3" ht="16.5" thickBot="1" x14ac:dyDescent="0.3">
      <c r="A36" s="67" t="s">
        <v>316</v>
      </c>
      <c r="B36" s="103"/>
      <c r="C36" s="32">
        <v>2</v>
      </c>
    </row>
    <row r="37" spans="1:3" s="152" customFormat="1" ht="16.5" thickBot="1" x14ac:dyDescent="0.3">
      <c r="A37" s="91" t="s">
        <v>313</v>
      </c>
      <c r="B37" s="92"/>
      <c r="C37" s="152">
        <v>10</v>
      </c>
    </row>
    <row r="38" spans="1:3" ht="16.5" thickBot="1" x14ac:dyDescent="0.3">
      <c r="A38" s="67" t="s">
        <v>314</v>
      </c>
      <c r="B38" s="93">
        <f>B37/$B$27</f>
        <v>0</v>
      </c>
    </row>
    <row r="39" spans="1:3" ht="16.5" thickBot="1" x14ac:dyDescent="0.3">
      <c r="A39" s="67" t="s">
        <v>315</v>
      </c>
      <c r="B39" s="90"/>
      <c r="C39" s="32">
        <v>1</v>
      </c>
    </row>
    <row r="40" spans="1:3" ht="16.5" thickBot="1" x14ac:dyDescent="0.3">
      <c r="A40" s="67" t="s">
        <v>316</v>
      </c>
      <c r="B40" s="90"/>
      <c r="C40" s="32">
        <v>2</v>
      </c>
    </row>
    <row r="41" spans="1:3" ht="16.5" thickBot="1" x14ac:dyDescent="0.3">
      <c r="A41" s="91" t="s">
        <v>313</v>
      </c>
      <c r="B41" s="92"/>
      <c r="C41" s="152">
        <v>10</v>
      </c>
    </row>
    <row r="42" spans="1:3" ht="16.5" thickBot="1" x14ac:dyDescent="0.3">
      <c r="A42" s="67" t="s">
        <v>314</v>
      </c>
      <c r="B42" s="93">
        <f>B41/$B$27</f>
        <v>0</v>
      </c>
    </row>
    <row r="43" spans="1:3" ht="16.5" thickBot="1" x14ac:dyDescent="0.3">
      <c r="A43" s="67" t="s">
        <v>315</v>
      </c>
      <c r="B43" s="90"/>
      <c r="C43" s="32">
        <v>1</v>
      </c>
    </row>
    <row r="44" spans="1:3" ht="16.5" thickBot="1" x14ac:dyDescent="0.3">
      <c r="A44" s="67" t="s">
        <v>316</v>
      </c>
      <c r="B44" s="90"/>
      <c r="C44" s="32">
        <v>2</v>
      </c>
    </row>
    <row r="45" spans="1:3" ht="16.5" thickBot="1" x14ac:dyDescent="0.3">
      <c r="A45" s="91" t="s">
        <v>313</v>
      </c>
      <c r="B45" s="92"/>
      <c r="C45" s="152">
        <v>10</v>
      </c>
    </row>
    <row r="46" spans="1:3" ht="16.5" thickBot="1" x14ac:dyDescent="0.3">
      <c r="A46" s="67" t="s">
        <v>314</v>
      </c>
      <c r="B46" s="93">
        <f>B45/$B$27</f>
        <v>0</v>
      </c>
    </row>
    <row r="47" spans="1:3" ht="16.5" thickBot="1" x14ac:dyDescent="0.3">
      <c r="A47" s="67" t="s">
        <v>315</v>
      </c>
      <c r="B47" s="90"/>
      <c r="C47" s="32">
        <v>1</v>
      </c>
    </row>
    <row r="48" spans="1:3" ht="16.5" thickBot="1" x14ac:dyDescent="0.3">
      <c r="A48" s="67" t="s">
        <v>316</v>
      </c>
      <c r="B48" s="90"/>
      <c r="C48" s="32">
        <v>2</v>
      </c>
    </row>
    <row r="49" spans="1:3" ht="16.5" thickBot="1" x14ac:dyDescent="0.3">
      <c r="A49" s="91" t="s">
        <v>313</v>
      </c>
      <c r="B49" s="92"/>
      <c r="C49" s="152">
        <v>10</v>
      </c>
    </row>
    <row r="50" spans="1:3" ht="16.5" thickBot="1" x14ac:dyDescent="0.3">
      <c r="A50" s="67" t="s">
        <v>314</v>
      </c>
      <c r="B50" s="93">
        <f>B49/$B$27</f>
        <v>0</v>
      </c>
    </row>
    <row r="51" spans="1:3" ht="16.5" thickBot="1" x14ac:dyDescent="0.3">
      <c r="A51" s="67" t="s">
        <v>315</v>
      </c>
      <c r="B51" s="90"/>
      <c r="C51" s="32">
        <v>1</v>
      </c>
    </row>
    <row r="52" spans="1:3" ht="16.5" thickBot="1" x14ac:dyDescent="0.3">
      <c r="A52" s="67" t="s">
        <v>316</v>
      </c>
      <c r="B52" s="90"/>
      <c r="C52" s="32">
        <v>2</v>
      </c>
    </row>
    <row r="53" spans="1:3" ht="29.25" thickBot="1" x14ac:dyDescent="0.3">
      <c r="A53" s="73" t="s">
        <v>317</v>
      </c>
      <c r="B53" s="90">
        <f xml:space="preserve"> SUMIF(C54:C110, 20,B54:B110)</f>
        <v>0</v>
      </c>
    </row>
    <row r="54" spans="1:3" s="152" customFormat="1" ht="16.5" thickBot="1" x14ac:dyDescent="0.3">
      <c r="A54" s="91" t="s">
        <v>313</v>
      </c>
      <c r="B54" s="92"/>
      <c r="C54" s="152">
        <v>20</v>
      </c>
    </row>
    <row r="55" spans="1:3" ht="16.5" thickBot="1" x14ac:dyDescent="0.3">
      <c r="A55" s="67" t="s">
        <v>314</v>
      </c>
      <c r="B55" s="93">
        <f>B54/$B$27</f>
        <v>0</v>
      </c>
    </row>
    <row r="56" spans="1:3" ht="16.5" thickBot="1" x14ac:dyDescent="0.3">
      <c r="A56" s="67" t="s">
        <v>315</v>
      </c>
      <c r="B56" s="90"/>
      <c r="C56" s="32">
        <v>1</v>
      </c>
    </row>
    <row r="57" spans="1:3" ht="16.5" thickBot="1" x14ac:dyDescent="0.3">
      <c r="A57" s="67" t="s">
        <v>316</v>
      </c>
      <c r="B57" s="90"/>
      <c r="C57" s="32">
        <v>2</v>
      </c>
    </row>
    <row r="58" spans="1:3" s="152" customFormat="1" ht="16.5" thickBot="1" x14ac:dyDescent="0.3">
      <c r="A58" s="91" t="s">
        <v>313</v>
      </c>
      <c r="B58" s="92"/>
      <c r="C58" s="152">
        <v>20</v>
      </c>
    </row>
    <row r="59" spans="1:3" ht="16.5" thickBot="1" x14ac:dyDescent="0.3">
      <c r="A59" s="67" t="s">
        <v>314</v>
      </c>
      <c r="B59" s="93">
        <f>B58/$B$27</f>
        <v>0</v>
      </c>
    </row>
    <row r="60" spans="1:3" ht="16.5" thickBot="1" x14ac:dyDescent="0.3">
      <c r="A60" s="67" t="s">
        <v>315</v>
      </c>
      <c r="B60" s="90"/>
      <c r="C60" s="32">
        <v>1</v>
      </c>
    </row>
    <row r="61" spans="1:3" ht="16.5" thickBot="1" x14ac:dyDescent="0.3">
      <c r="A61" s="67" t="s">
        <v>316</v>
      </c>
      <c r="B61" s="90"/>
      <c r="C61" s="32">
        <v>2</v>
      </c>
    </row>
    <row r="62" spans="1:3" s="152" customFormat="1" ht="16.5" thickBot="1" x14ac:dyDescent="0.3">
      <c r="A62" s="91" t="s">
        <v>313</v>
      </c>
      <c r="B62" s="92"/>
      <c r="C62" s="152">
        <v>20</v>
      </c>
    </row>
    <row r="63" spans="1:3" ht="16.5" thickBot="1" x14ac:dyDescent="0.3">
      <c r="A63" s="67" t="s">
        <v>314</v>
      </c>
      <c r="B63" s="93">
        <f>B62/$B$27</f>
        <v>0</v>
      </c>
    </row>
    <row r="64" spans="1:3" ht="16.5" thickBot="1" x14ac:dyDescent="0.3">
      <c r="A64" s="67" t="s">
        <v>315</v>
      </c>
      <c r="B64" s="90"/>
      <c r="C64" s="32">
        <v>1</v>
      </c>
    </row>
    <row r="65" spans="1:3" ht="16.5" thickBot="1" x14ac:dyDescent="0.3">
      <c r="A65" s="67" t="s">
        <v>316</v>
      </c>
      <c r="B65" s="90"/>
      <c r="C65" s="32">
        <v>2</v>
      </c>
    </row>
    <row r="66" spans="1:3" s="152" customFormat="1" ht="16.5" thickBot="1" x14ac:dyDescent="0.3">
      <c r="A66" s="91" t="s">
        <v>313</v>
      </c>
      <c r="B66" s="92"/>
      <c r="C66" s="152">
        <v>20</v>
      </c>
    </row>
    <row r="67" spans="1:3" ht="16.5" thickBot="1" x14ac:dyDescent="0.3">
      <c r="A67" s="67" t="s">
        <v>314</v>
      </c>
      <c r="B67" s="93">
        <f>B66/$B$27</f>
        <v>0</v>
      </c>
    </row>
    <row r="68" spans="1:3" ht="16.5" thickBot="1" x14ac:dyDescent="0.3">
      <c r="A68" s="67" t="s">
        <v>315</v>
      </c>
      <c r="B68" s="90"/>
      <c r="C68" s="32">
        <v>1</v>
      </c>
    </row>
    <row r="69" spans="1:3" ht="16.5" thickBot="1" x14ac:dyDescent="0.3">
      <c r="A69" s="67" t="s">
        <v>316</v>
      </c>
      <c r="B69" s="90"/>
      <c r="C69" s="32">
        <v>2</v>
      </c>
    </row>
    <row r="70" spans="1:3" ht="29.25" thickBot="1" x14ac:dyDescent="0.3">
      <c r="A70" s="73" t="s">
        <v>318</v>
      </c>
      <c r="B70" s="90"/>
    </row>
    <row r="71" spans="1:3" s="152" customFormat="1" ht="16.5" thickBot="1" x14ac:dyDescent="0.3">
      <c r="A71" s="159"/>
      <c r="B71" s="160"/>
      <c r="C71" s="152">
        <v>30</v>
      </c>
    </row>
    <row r="72" spans="1:3" ht="16.5" thickBot="1" x14ac:dyDescent="0.3">
      <c r="A72" s="67" t="s">
        <v>314</v>
      </c>
      <c r="B72" s="93"/>
    </row>
    <row r="73" spans="1:3" ht="16.5" thickBot="1" x14ac:dyDescent="0.3">
      <c r="A73" s="67" t="s">
        <v>315</v>
      </c>
      <c r="B73" s="103"/>
      <c r="C73" s="32">
        <v>1</v>
      </c>
    </row>
    <row r="74" spans="1:3" ht="16.5" thickBot="1" x14ac:dyDescent="0.3">
      <c r="A74" s="67" t="s">
        <v>316</v>
      </c>
      <c r="B74" s="103"/>
      <c r="C74" s="32">
        <v>2</v>
      </c>
    </row>
    <row r="75" spans="1:3" s="152" customFormat="1" ht="16.5" thickBot="1" x14ac:dyDescent="0.3">
      <c r="A75" s="159"/>
      <c r="B75" s="160"/>
      <c r="C75" s="152">
        <v>30</v>
      </c>
    </row>
    <row r="76" spans="1:3" ht="16.5" thickBot="1" x14ac:dyDescent="0.3">
      <c r="A76" s="67" t="s">
        <v>314</v>
      </c>
      <c r="B76" s="93"/>
    </row>
    <row r="77" spans="1:3" ht="16.5" thickBot="1" x14ac:dyDescent="0.3">
      <c r="A77" s="67" t="s">
        <v>315</v>
      </c>
      <c r="B77" s="103"/>
      <c r="C77" s="32">
        <v>1</v>
      </c>
    </row>
    <row r="78" spans="1:3" ht="16.5" thickBot="1" x14ac:dyDescent="0.3">
      <c r="A78" s="67" t="s">
        <v>316</v>
      </c>
      <c r="B78" s="103"/>
      <c r="C78" s="32">
        <v>2</v>
      </c>
    </row>
    <row r="79" spans="1:3" s="152" customFormat="1" ht="16.5" thickBot="1" x14ac:dyDescent="0.3">
      <c r="A79" s="159"/>
      <c r="B79" s="160"/>
      <c r="C79" s="152">
        <v>30</v>
      </c>
    </row>
    <row r="80" spans="1:3" ht="16.5" thickBot="1" x14ac:dyDescent="0.3">
      <c r="A80" s="67" t="s">
        <v>314</v>
      </c>
      <c r="B80" s="93"/>
    </row>
    <row r="81" spans="1:3" ht="16.5" thickBot="1" x14ac:dyDescent="0.3">
      <c r="A81" s="67" t="s">
        <v>315</v>
      </c>
      <c r="B81" s="90"/>
      <c r="C81" s="32">
        <v>1</v>
      </c>
    </row>
    <row r="82" spans="1:3" ht="16.5" thickBot="1" x14ac:dyDescent="0.3">
      <c r="A82" s="67" t="s">
        <v>316</v>
      </c>
      <c r="B82" s="90"/>
      <c r="C82" s="32">
        <v>2</v>
      </c>
    </row>
    <row r="83" spans="1:3" s="152" customFormat="1" ht="16.5" thickBot="1" x14ac:dyDescent="0.3">
      <c r="A83" s="91" t="s">
        <v>313</v>
      </c>
      <c r="B83" s="92"/>
      <c r="C83" s="152">
        <v>30</v>
      </c>
    </row>
    <row r="84" spans="1:3" ht="16.5" thickBot="1" x14ac:dyDescent="0.3">
      <c r="A84" s="67" t="s">
        <v>314</v>
      </c>
      <c r="B84" s="93"/>
    </row>
    <row r="85" spans="1:3" ht="16.5" thickBot="1" x14ac:dyDescent="0.3">
      <c r="A85" s="67" t="s">
        <v>315</v>
      </c>
      <c r="B85" s="90"/>
      <c r="C85" s="32">
        <v>1</v>
      </c>
    </row>
    <row r="86" spans="1:3" ht="16.5" thickBot="1" x14ac:dyDescent="0.3">
      <c r="A86" s="67" t="s">
        <v>316</v>
      </c>
      <c r="B86" s="90"/>
      <c r="C86" s="32">
        <v>2</v>
      </c>
    </row>
    <row r="87" spans="1:3" s="152" customFormat="1" ht="16.5" thickBot="1" x14ac:dyDescent="0.3">
      <c r="A87" s="91" t="s">
        <v>313</v>
      </c>
      <c r="B87" s="92"/>
      <c r="C87" s="152">
        <v>30</v>
      </c>
    </row>
    <row r="88" spans="1:3" ht="16.5" thickBot="1" x14ac:dyDescent="0.3">
      <c r="A88" s="67" t="s">
        <v>314</v>
      </c>
      <c r="B88" s="93"/>
    </row>
    <row r="89" spans="1:3" ht="16.5" thickBot="1" x14ac:dyDescent="0.3">
      <c r="A89" s="67" t="s">
        <v>315</v>
      </c>
      <c r="B89" s="90"/>
      <c r="C89" s="32">
        <v>1</v>
      </c>
    </row>
    <row r="90" spans="1:3" ht="16.5" thickBot="1" x14ac:dyDescent="0.3">
      <c r="A90" s="67" t="s">
        <v>316</v>
      </c>
      <c r="B90" s="90"/>
      <c r="C90" s="32">
        <v>2</v>
      </c>
    </row>
    <row r="91" spans="1:3" s="152" customFormat="1" ht="16.5" thickBot="1" x14ac:dyDescent="0.3">
      <c r="A91" s="91" t="s">
        <v>313</v>
      </c>
      <c r="B91" s="92"/>
      <c r="C91" s="152">
        <v>30</v>
      </c>
    </row>
    <row r="92" spans="1:3" ht="16.5" thickBot="1" x14ac:dyDescent="0.3">
      <c r="A92" s="67" t="s">
        <v>314</v>
      </c>
      <c r="B92" s="93"/>
    </row>
    <row r="93" spans="1:3" ht="16.5" thickBot="1" x14ac:dyDescent="0.3">
      <c r="A93" s="67" t="s">
        <v>315</v>
      </c>
      <c r="B93" s="90"/>
      <c r="C93" s="32">
        <v>1</v>
      </c>
    </row>
    <row r="94" spans="1:3" ht="16.5" thickBot="1" x14ac:dyDescent="0.3">
      <c r="A94" s="67" t="s">
        <v>316</v>
      </c>
      <c r="B94" s="90"/>
      <c r="C94" s="32">
        <v>2</v>
      </c>
    </row>
    <row r="95" spans="1:3" s="152" customFormat="1" ht="16.5" thickBot="1" x14ac:dyDescent="0.3">
      <c r="A95" s="91" t="s">
        <v>313</v>
      </c>
      <c r="B95" s="92"/>
      <c r="C95" s="152">
        <v>30</v>
      </c>
    </row>
    <row r="96" spans="1:3" ht="16.5" thickBot="1" x14ac:dyDescent="0.3">
      <c r="A96" s="67" t="s">
        <v>314</v>
      </c>
      <c r="B96" s="93"/>
    </row>
    <row r="97" spans="1:3" ht="16.5" thickBot="1" x14ac:dyDescent="0.3">
      <c r="A97" s="67" t="s">
        <v>315</v>
      </c>
      <c r="B97" s="90"/>
      <c r="C97" s="32">
        <v>1</v>
      </c>
    </row>
    <row r="98" spans="1:3" ht="16.5" thickBot="1" x14ac:dyDescent="0.3">
      <c r="A98" s="67" t="s">
        <v>316</v>
      </c>
      <c r="B98" s="90"/>
      <c r="C98" s="32">
        <v>2</v>
      </c>
    </row>
    <row r="99" spans="1:3" s="152" customFormat="1" ht="16.5" thickBot="1" x14ac:dyDescent="0.3">
      <c r="A99" s="91" t="s">
        <v>313</v>
      </c>
      <c r="B99" s="92"/>
      <c r="C99" s="152">
        <v>30</v>
      </c>
    </row>
    <row r="100" spans="1:3" ht="16.5" thickBot="1" x14ac:dyDescent="0.3">
      <c r="A100" s="67" t="s">
        <v>314</v>
      </c>
      <c r="B100" s="93">
        <f>B99/$B$27</f>
        <v>0</v>
      </c>
    </row>
    <row r="101" spans="1:3" ht="16.5" thickBot="1" x14ac:dyDescent="0.3">
      <c r="A101" s="67" t="s">
        <v>315</v>
      </c>
      <c r="B101" s="90"/>
      <c r="C101" s="32">
        <v>1</v>
      </c>
    </row>
    <row r="102" spans="1:3" ht="16.5" thickBot="1" x14ac:dyDescent="0.3">
      <c r="A102" s="67" t="s">
        <v>316</v>
      </c>
      <c r="B102" s="90"/>
      <c r="C102" s="32">
        <v>2</v>
      </c>
    </row>
    <row r="103" spans="1:3" s="152" customFormat="1" ht="16.5" thickBot="1" x14ac:dyDescent="0.3">
      <c r="A103" s="91" t="s">
        <v>313</v>
      </c>
      <c r="B103" s="92"/>
      <c r="C103" s="152">
        <v>30</v>
      </c>
    </row>
    <row r="104" spans="1:3" ht="16.5" thickBot="1" x14ac:dyDescent="0.3">
      <c r="A104" s="67" t="s">
        <v>314</v>
      </c>
      <c r="B104" s="93">
        <f>B103/$B$27</f>
        <v>0</v>
      </c>
    </row>
    <row r="105" spans="1:3" ht="16.5" thickBot="1" x14ac:dyDescent="0.3">
      <c r="A105" s="67" t="s">
        <v>315</v>
      </c>
      <c r="B105" s="90"/>
      <c r="C105" s="32">
        <v>1</v>
      </c>
    </row>
    <row r="106" spans="1:3" ht="16.5" thickBot="1" x14ac:dyDescent="0.3">
      <c r="A106" s="67" t="s">
        <v>316</v>
      </c>
      <c r="B106" s="90"/>
      <c r="C106" s="32">
        <v>2</v>
      </c>
    </row>
    <row r="107" spans="1:3" s="152" customFormat="1" ht="16.5" thickBot="1" x14ac:dyDescent="0.3">
      <c r="A107" s="91" t="s">
        <v>313</v>
      </c>
      <c r="B107" s="92"/>
      <c r="C107" s="152">
        <v>30</v>
      </c>
    </row>
    <row r="108" spans="1:3" ht="16.5" thickBot="1" x14ac:dyDescent="0.3">
      <c r="A108" s="67" t="s">
        <v>314</v>
      </c>
      <c r="B108" s="93">
        <f>B107/$B$27</f>
        <v>0</v>
      </c>
    </row>
    <row r="109" spans="1:3" ht="16.5" thickBot="1" x14ac:dyDescent="0.3">
      <c r="A109" s="67" t="s">
        <v>315</v>
      </c>
      <c r="B109" s="90"/>
      <c r="C109" s="32">
        <v>1</v>
      </c>
    </row>
    <row r="110" spans="1:3" ht="16.5" thickBot="1" x14ac:dyDescent="0.3">
      <c r="A110" s="67" t="s">
        <v>316</v>
      </c>
      <c r="B110" s="90"/>
      <c r="C110" s="32">
        <v>2</v>
      </c>
    </row>
    <row r="111" spans="1:3" ht="29.25" thickBot="1" x14ac:dyDescent="0.3">
      <c r="A111" s="66" t="s">
        <v>319</v>
      </c>
      <c r="B111" s="93">
        <f>B30/B27</f>
        <v>0</v>
      </c>
    </row>
    <row r="112" spans="1:3" ht="16.5" thickBot="1" x14ac:dyDescent="0.3">
      <c r="A112" s="68" t="s">
        <v>311</v>
      </c>
      <c r="B112" s="74"/>
    </row>
    <row r="113" spans="1:2" ht="16.5" thickBot="1" x14ac:dyDescent="0.3">
      <c r="A113" s="68" t="s">
        <v>320</v>
      </c>
      <c r="B113" s="93">
        <f>B33/B27</f>
        <v>0</v>
      </c>
    </row>
    <row r="114" spans="1:2" ht="16.5" thickBot="1" x14ac:dyDescent="0.3">
      <c r="A114" s="68" t="s">
        <v>321</v>
      </c>
      <c r="B114" s="93"/>
    </row>
    <row r="115" spans="1:2" ht="16.5" thickBot="1" x14ac:dyDescent="0.3">
      <c r="A115" s="68" t="s">
        <v>322</v>
      </c>
      <c r="B115" s="93">
        <f>B70/B27</f>
        <v>0</v>
      </c>
    </row>
    <row r="116" spans="1:2" ht="16.5" thickBot="1" x14ac:dyDescent="0.3">
      <c r="A116" s="64" t="s">
        <v>323</v>
      </c>
      <c r="B116" s="94">
        <f>B117/$B$27</f>
        <v>0</v>
      </c>
    </row>
    <row r="117" spans="1:2" ht="16.5" thickBot="1" x14ac:dyDescent="0.3">
      <c r="A117" s="64" t="s">
        <v>324</v>
      </c>
      <c r="B117" s="175">
        <f xml:space="preserve"> SUMIF(C33:C110, 1,B33:B110)</f>
        <v>0</v>
      </c>
    </row>
    <row r="118" spans="1:2" ht="16.5" thickBot="1" x14ac:dyDescent="0.3">
      <c r="A118" s="64" t="s">
        <v>325</v>
      </c>
      <c r="B118" s="94">
        <f>B119/$B$27</f>
        <v>0</v>
      </c>
    </row>
    <row r="119" spans="1:2" ht="16.5" thickBot="1" x14ac:dyDescent="0.3">
      <c r="A119" s="65" t="s">
        <v>326</v>
      </c>
      <c r="B119" s="175">
        <f xml:space="preserve"> SUMIF(C33:C110, 2,B33:B110)</f>
        <v>0</v>
      </c>
    </row>
    <row r="120" spans="1:2" ht="15.75" customHeight="1" x14ac:dyDescent="0.25">
      <c r="A120" s="66" t="s">
        <v>327</v>
      </c>
      <c r="B120" s="68" t="s">
        <v>328</v>
      </c>
    </row>
    <row r="121" spans="1:2" x14ac:dyDescent="0.25">
      <c r="A121" s="70" t="s">
        <v>329</v>
      </c>
      <c r="B121" s="70" t="str">
        <f>A9</f>
        <v xml:space="preserve">Акционерное общество "Западная энергетическая компания" </v>
      </c>
    </row>
    <row r="122" spans="1:2" x14ac:dyDescent="0.25">
      <c r="A122" s="70" t="s">
        <v>330</v>
      </c>
      <c r="B122" s="70"/>
    </row>
    <row r="123" spans="1:2" x14ac:dyDescent="0.25">
      <c r="A123" s="70" t="s">
        <v>331</v>
      </c>
      <c r="B123" s="70"/>
    </row>
    <row r="124" spans="1:2" x14ac:dyDescent="0.25">
      <c r="A124" s="70" t="s">
        <v>332</v>
      </c>
      <c r="B124" s="70"/>
    </row>
    <row r="125" spans="1:2" ht="16.5" thickBot="1" x14ac:dyDescent="0.3">
      <c r="A125" s="71" t="s">
        <v>333</v>
      </c>
      <c r="B125" s="71"/>
    </row>
    <row r="126" spans="1:2" ht="30.75" thickBot="1" x14ac:dyDescent="0.3">
      <c r="A126" s="68" t="s">
        <v>334</v>
      </c>
      <c r="B126" s="69"/>
    </row>
    <row r="127" spans="1:2" ht="29.25" thickBot="1" x14ac:dyDescent="0.3">
      <c r="A127" s="64" t="s">
        <v>335</v>
      </c>
      <c r="B127" s="176"/>
    </row>
    <row r="128" spans="1:2" ht="16.5" thickBot="1" x14ac:dyDescent="0.3">
      <c r="A128" s="68" t="s">
        <v>311</v>
      </c>
      <c r="B128" s="177"/>
    </row>
    <row r="129" spans="1:2" ht="16.5" thickBot="1" x14ac:dyDescent="0.3">
      <c r="A129" s="68" t="s">
        <v>336</v>
      </c>
      <c r="B129" s="176"/>
    </row>
    <row r="130" spans="1:2" ht="16.5" thickBot="1" x14ac:dyDescent="0.3">
      <c r="A130" s="68" t="s">
        <v>337</v>
      </c>
      <c r="B130" s="177"/>
    </row>
    <row r="131" spans="1:2" ht="16.5" thickBot="1" x14ac:dyDescent="0.3">
      <c r="A131" s="77" t="s">
        <v>338</v>
      </c>
      <c r="B131" s="107"/>
    </row>
    <row r="132" spans="1:2" ht="16.5" thickBot="1" x14ac:dyDescent="0.3">
      <c r="A132" s="64" t="s">
        <v>339</v>
      </c>
      <c r="B132" s="75"/>
    </row>
    <row r="133" spans="1:2" ht="16.5" thickBot="1" x14ac:dyDescent="0.3">
      <c r="A133" s="70" t="s">
        <v>340</v>
      </c>
      <c r="B133" s="174">
        <f>'6.1. Паспорт сетевой график'!H43</f>
        <v>45214</v>
      </c>
    </row>
    <row r="134" spans="1:2" ht="16.5" thickBot="1" x14ac:dyDescent="0.3">
      <c r="A134" s="70" t="s">
        <v>341</v>
      </c>
      <c r="B134" s="78" t="s">
        <v>544</v>
      </c>
    </row>
    <row r="135" spans="1:2" ht="16.5" thickBot="1" x14ac:dyDescent="0.3">
      <c r="A135" s="70" t="s">
        <v>342</v>
      </c>
      <c r="B135" s="78" t="s">
        <v>544</v>
      </c>
    </row>
    <row r="136" spans="1:2" ht="29.25" thickBot="1" x14ac:dyDescent="0.3">
      <c r="A136" s="79" t="s">
        <v>343</v>
      </c>
      <c r="B136" s="76" t="s">
        <v>545</v>
      </c>
    </row>
    <row r="137" spans="1:2" ht="28.5" customHeight="1" x14ac:dyDescent="0.25">
      <c r="A137" s="66" t="s">
        <v>344</v>
      </c>
      <c r="B137" s="415" t="s">
        <v>544</v>
      </c>
    </row>
    <row r="138" spans="1:2" x14ac:dyDescent="0.25">
      <c r="A138" s="70" t="s">
        <v>345</v>
      </c>
      <c r="B138" s="416"/>
    </row>
    <row r="139" spans="1:2" x14ac:dyDescent="0.25">
      <c r="A139" s="70" t="s">
        <v>346</v>
      </c>
      <c r="B139" s="416"/>
    </row>
    <row r="140" spans="1:2" x14ac:dyDescent="0.25">
      <c r="A140" s="70" t="s">
        <v>347</v>
      </c>
      <c r="B140" s="416"/>
    </row>
    <row r="141" spans="1:2" x14ac:dyDescent="0.25">
      <c r="A141" s="70" t="s">
        <v>348</v>
      </c>
      <c r="B141" s="416"/>
    </row>
    <row r="142" spans="1:2" ht="16.5" thickBot="1" x14ac:dyDescent="0.3">
      <c r="A142" s="80" t="s">
        <v>349</v>
      </c>
      <c r="B142" s="417"/>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1"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A4" zoomScale="70" zoomScaleSheetLayoutView="70" workbookViewId="0">
      <selection activeCell="A14" sqref="A14:S14"/>
    </sheetView>
  </sheetViews>
  <sheetFormatPr defaultColWidth="9.140625" defaultRowHeight="15" x14ac:dyDescent="0.25"/>
  <cols>
    <col min="1" max="1" width="7.42578125" style="120" customWidth="1"/>
    <col min="2" max="2" width="35.85546875" style="120" customWidth="1"/>
    <col min="3" max="3" width="31.140625" style="120" customWidth="1"/>
    <col min="4" max="4" width="25" style="120" customWidth="1"/>
    <col min="5" max="5" width="50" style="120" customWidth="1"/>
    <col min="6" max="6" width="57" style="120" customWidth="1"/>
    <col min="7" max="7" width="75" style="120" customWidth="1"/>
    <col min="8" max="10" width="20.5703125" style="120" customWidth="1"/>
    <col min="11" max="11" width="16" style="120" customWidth="1"/>
    <col min="12" max="12" width="20.5703125" style="120" customWidth="1"/>
    <col min="13" max="13" width="21.28515625" style="120" customWidth="1"/>
    <col min="14" max="14" width="23.85546875" style="120" customWidth="1"/>
    <col min="15" max="15" width="17.85546875" style="120" customWidth="1"/>
    <col min="16" max="16" width="23.85546875" style="120" customWidth="1"/>
    <col min="17" max="17" width="127.5703125" style="120" customWidth="1"/>
    <col min="18" max="18" width="92.42578125" style="120" customWidth="1"/>
    <col min="19" max="19" width="51.5703125" style="120" customWidth="1"/>
    <col min="20" max="16384" width="9.140625" style="120"/>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95" t="str">
        <f>'1. паспорт местоположение'!A5:C5</f>
        <v>Год раскрытия информации: 2024 год</v>
      </c>
      <c r="B4" s="295"/>
      <c r="C4" s="295"/>
      <c r="D4" s="295"/>
      <c r="E4" s="295"/>
      <c r="F4" s="295"/>
      <c r="G4" s="295"/>
      <c r="H4" s="295"/>
      <c r="I4" s="295"/>
      <c r="J4" s="295"/>
      <c r="K4" s="295"/>
      <c r="L4" s="295"/>
      <c r="M4" s="295"/>
      <c r="N4" s="295"/>
      <c r="O4" s="295"/>
      <c r="P4" s="295"/>
      <c r="Q4" s="295"/>
      <c r="R4" s="295"/>
      <c r="S4" s="295"/>
    </row>
    <row r="5" spans="1:28" s="14" customFormat="1" ht="15.75" x14ac:dyDescent="0.2">
      <c r="A5" s="108"/>
    </row>
    <row r="6" spans="1:28" s="14" customFormat="1" ht="18.75" x14ac:dyDescent="0.2">
      <c r="A6" s="304" t="s">
        <v>7</v>
      </c>
      <c r="B6" s="304"/>
      <c r="C6" s="304"/>
      <c r="D6" s="304"/>
      <c r="E6" s="304"/>
      <c r="F6" s="304"/>
      <c r="G6" s="304"/>
      <c r="H6" s="304"/>
      <c r="I6" s="304"/>
      <c r="J6" s="304"/>
      <c r="K6" s="304"/>
      <c r="L6" s="304"/>
      <c r="M6" s="304"/>
      <c r="N6" s="304"/>
      <c r="O6" s="304"/>
      <c r="P6" s="304"/>
      <c r="Q6" s="304"/>
      <c r="R6" s="304"/>
      <c r="S6" s="304"/>
      <c r="T6" s="110"/>
      <c r="U6" s="110"/>
      <c r="V6" s="110"/>
      <c r="W6" s="110"/>
      <c r="X6" s="110"/>
      <c r="Y6" s="110"/>
      <c r="Z6" s="110"/>
      <c r="AA6" s="110"/>
      <c r="AB6" s="110"/>
    </row>
    <row r="7" spans="1:28" s="14" customFormat="1" ht="18.75" x14ac:dyDescent="0.2">
      <c r="A7" s="304"/>
      <c r="B7" s="304"/>
      <c r="C7" s="304"/>
      <c r="D7" s="304"/>
      <c r="E7" s="304"/>
      <c r="F7" s="304"/>
      <c r="G7" s="304"/>
      <c r="H7" s="304"/>
      <c r="I7" s="304"/>
      <c r="J7" s="304"/>
      <c r="K7" s="304"/>
      <c r="L7" s="304"/>
      <c r="M7" s="304"/>
      <c r="N7" s="304"/>
      <c r="O7" s="304"/>
      <c r="P7" s="304"/>
      <c r="Q7" s="304"/>
      <c r="R7" s="304"/>
      <c r="S7" s="304"/>
      <c r="T7" s="110"/>
      <c r="U7" s="110"/>
      <c r="V7" s="110"/>
      <c r="W7" s="110"/>
      <c r="X7" s="110"/>
      <c r="Y7" s="110"/>
      <c r="Z7" s="110"/>
      <c r="AA7" s="110"/>
      <c r="AB7" s="110"/>
    </row>
    <row r="8" spans="1:28" s="14" customFormat="1" ht="18.75" x14ac:dyDescent="0.2">
      <c r="A8" s="302" t="str">
        <f>'1. паспорт местоположение'!A9:C9</f>
        <v xml:space="preserve">Акционерное общество "Западная энергетическая компания" </v>
      </c>
      <c r="B8" s="302"/>
      <c r="C8" s="302"/>
      <c r="D8" s="302"/>
      <c r="E8" s="302"/>
      <c r="F8" s="302"/>
      <c r="G8" s="302"/>
      <c r="H8" s="302"/>
      <c r="I8" s="302"/>
      <c r="J8" s="302"/>
      <c r="K8" s="302"/>
      <c r="L8" s="302"/>
      <c r="M8" s="302"/>
      <c r="N8" s="302"/>
      <c r="O8" s="302"/>
      <c r="P8" s="302"/>
      <c r="Q8" s="302"/>
      <c r="R8" s="302"/>
      <c r="S8" s="302"/>
      <c r="T8" s="110"/>
      <c r="U8" s="110"/>
      <c r="V8" s="110"/>
      <c r="W8" s="110"/>
      <c r="X8" s="110"/>
      <c r="Y8" s="110"/>
      <c r="Z8" s="110"/>
      <c r="AA8" s="110"/>
      <c r="AB8" s="110"/>
    </row>
    <row r="9" spans="1:28" s="14" customFormat="1" ht="18.75" x14ac:dyDescent="0.2">
      <c r="A9" s="308" t="s">
        <v>6</v>
      </c>
      <c r="B9" s="308"/>
      <c r="C9" s="308"/>
      <c r="D9" s="308"/>
      <c r="E9" s="308"/>
      <c r="F9" s="308"/>
      <c r="G9" s="308"/>
      <c r="H9" s="308"/>
      <c r="I9" s="308"/>
      <c r="J9" s="308"/>
      <c r="K9" s="308"/>
      <c r="L9" s="308"/>
      <c r="M9" s="308"/>
      <c r="N9" s="308"/>
      <c r="O9" s="308"/>
      <c r="P9" s="308"/>
      <c r="Q9" s="308"/>
      <c r="R9" s="308"/>
      <c r="S9" s="308"/>
      <c r="T9" s="110"/>
      <c r="U9" s="110"/>
      <c r="V9" s="110"/>
      <c r="W9" s="110"/>
      <c r="X9" s="110"/>
      <c r="Y9" s="110"/>
      <c r="Z9" s="110"/>
      <c r="AA9" s="110"/>
      <c r="AB9" s="110"/>
    </row>
    <row r="10" spans="1:28" s="14" customFormat="1" ht="18.75" x14ac:dyDescent="0.2">
      <c r="A10" s="304"/>
      <c r="B10" s="304"/>
      <c r="C10" s="304"/>
      <c r="D10" s="304"/>
      <c r="E10" s="304"/>
      <c r="F10" s="304"/>
      <c r="G10" s="304"/>
      <c r="H10" s="304"/>
      <c r="I10" s="304"/>
      <c r="J10" s="304"/>
      <c r="K10" s="304"/>
      <c r="L10" s="304"/>
      <c r="M10" s="304"/>
      <c r="N10" s="304"/>
      <c r="O10" s="304"/>
      <c r="P10" s="304"/>
      <c r="Q10" s="304"/>
      <c r="R10" s="304"/>
      <c r="S10" s="304"/>
      <c r="T10" s="110"/>
      <c r="U10" s="110"/>
      <c r="V10" s="110"/>
      <c r="W10" s="110"/>
      <c r="X10" s="110"/>
      <c r="Y10" s="110"/>
      <c r="Z10" s="110"/>
      <c r="AA10" s="110"/>
      <c r="AB10" s="110"/>
    </row>
    <row r="11" spans="1:28" s="14" customFormat="1" ht="18.75" x14ac:dyDescent="0.2">
      <c r="A11" s="302" t="str">
        <f>'1. паспорт местоположение'!A12:C12</f>
        <v>J_19-05</v>
      </c>
      <c r="B11" s="302"/>
      <c r="C11" s="302"/>
      <c r="D11" s="302"/>
      <c r="E11" s="302"/>
      <c r="F11" s="302"/>
      <c r="G11" s="302"/>
      <c r="H11" s="302"/>
      <c r="I11" s="302"/>
      <c r="J11" s="302"/>
      <c r="K11" s="302"/>
      <c r="L11" s="302"/>
      <c r="M11" s="302"/>
      <c r="N11" s="302"/>
      <c r="O11" s="302"/>
      <c r="P11" s="302"/>
      <c r="Q11" s="302"/>
      <c r="R11" s="302"/>
      <c r="S11" s="302"/>
      <c r="T11" s="110"/>
      <c r="U11" s="110"/>
      <c r="V11" s="110"/>
      <c r="W11" s="110"/>
      <c r="X11" s="110"/>
      <c r="Y11" s="110"/>
      <c r="Z11" s="110"/>
      <c r="AA11" s="110"/>
      <c r="AB11" s="110"/>
    </row>
    <row r="12" spans="1:28" s="14" customFormat="1" ht="18.75" x14ac:dyDescent="0.2">
      <c r="A12" s="308" t="s">
        <v>5</v>
      </c>
      <c r="B12" s="308"/>
      <c r="C12" s="308"/>
      <c r="D12" s="308"/>
      <c r="E12" s="308"/>
      <c r="F12" s="308"/>
      <c r="G12" s="308"/>
      <c r="H12" s="308"/>
      <c r="I12" s="308"/>
      <c r="J12" s="308"/>
      <c r="K12" s="308"/>
      <c r="L12" s="308"/>
      <c r="M12" s="308"/>
      <c r="N12" s="308"/>
      <c r="O12" s="308"/>
      <c r="P12" s="308"/>
      <c r="Q12" s="308"/>
      <c r="R12" s="308"/>
      <c r="S12" s="308"/>
      <c r="T12" s="110"/>
      <c r="U12" s="110"/>
      <c r="V12" s="110"/>
      <c r="W12" s="110"/>
      <c r="X12" s="110"/>
      <c r="Y12" s="110"/>
      <c r="Z12" s="110"/>
      <c r="AA12" s="110"/>
      <c r="AB12" s="110"/>
    </row>
    <row r="13" spans="1:28" s="14" customFormat="1" ht="15.75" customHeight="1" x14ac:dyDescent="0.2">
      <c r="A13" s="309"/>
      <c r="B13" s="309"/>
      <c r="C13" s="309"/>
      <c r="D13" s="309"/>
      <c r="E13" s="309"/>
      <c r="F13" s="309"/>
      <c r="G13" s="309"/>
      <c r="H13" s="309"/>
      <c r="I13" s="309"/>
      <c r="J13" s="309"/>
      <c r="K13" s="309"/>
      <c r="L13" s="309"/>
      <c r="M13" s="309"/>
      <c r="N13" s="309"/>
      <c r="O13" s="309"/>
      <c r="P13" s="309"/>
      <c r="Q13" s="309"/>
      <c r="R13" s="309"/>
      <c r="S13" s="309"/>
      <c r="T13" s="111"/>
      <c r="U13" s="111"/>
      <c r="V13" s="111"/>
      <c r="W13" s="111"/>
      <c r="X13" s="111"/>
      <c r="Y13" s="111"/>
      <c r="Z13" s="111"/>
      <c r="AA13" s="111"/>
      <c r="AB13" s="111"/>
    </row>
    <row r="14" spans="1:28" s="109" customFormat="1" ht="15.75" x14ac:dyDescent="0.2">
      <c r="A14" s="310"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4" s="310"/>
      <c r="C14" s="310"/>
      <c r="D14" s="310"/>
      <c r="E14" s="310"/>
      <c r="F14" s="310"/>
      <c r="G14" s="310"/>
      <c r="H14" s="310"/>
      <c r="I14" s="310"/>
      <c r="J14" s="310"/>
      <c r="K14" s="310"/>
      <c r="L14" s="310"/>
      <c r="M14" s="310"/>
      <c r="N14" s="310"/>
      <c r="O14" s="310"/>
      <c r="P14" s="310"/>
      <c r="Q14" s="310"/>
      <c r="R14" s="310"/>
      <c r="S14" s="310"/>
      <c r="T14" s="112"/>
      <c r="U14" s="112"/>
      <c r="V14" s="112"/>
      <c r="W14" s="112"/>
      <c r="X14" s="112"/>
      <c r="Y14" s="112"/>
      <c r="Z14" s="112"/>
      <c r="AA14" s="112"/>
      <c r="AB14" s="112"/>
    </row>
    <row r="15" spans="1:28" s="109" customFormat="1" ht="15" customHeight="1" x14ac:dyDescent="0.2">
      <c r="A15" s="308" t="s">
        <v>4</v>
      </c>
      <c r="B15" s="308"/>
      <c r="C15" s="308"/>
      <c r="D15" s="308"/>
      <c r="E15" s="308"/>
      <c r="F15" s="308"/>
      <c r="G15" s="308"/>
      <c r="H15" s="308"/>
      <c r="I15" s="308"/>
      <c r="J15" s="308"/>
      <c r="K15" s="308"/>
      <c r="L15" s="308"/>
      <c r="M15" s="308"/>
      <c r="N15" s="308"/>
      <c r="O15" s="308"/>
      <c r="P15" s="308"/>
      <c r="Q15" s="308"/>
      <c r="R15" s="308"/>
      <c r="S15" s="308"/>
      <c r="T15" s="113"/>
      <c r="U15" s="113"/>
      <c r="V15" s="113"/>
      <c r="W15" s="113"/>
      <c r="X15" s="113"/>
      <c r="Y15" s="113"/>
      <c r="Z15" s="113"/>
      <c r="AA15" s="113"/>
      <c r="AB15" s="113"/>
    </row>
    <row r="16" spans="1:28" s="109" customFormat="1" ht="15" customHeight="1" x14ac:dyDescent="0.2">
      <c r="A16" s="309"/>
      <c r="B16" s="309"/>
      <c r="C16" s="309"/>
      <c r="D16" s="309"/>
      <c r="E16" s="309"/>
      <c r="F16" s="309"/>
      <c r="G16" s="309"/>
      <c r="H16" s="309"/>
      <c r="I16" s="309"/>
      <c r="J16" s="309"/>
      <c r="K16" s="309"/>
      <c r="L16" s="309"/>
      <c r="M16" s="309"/>
      <c r="N16" s="309"/>
      <c r="O16" s="309"/>
      <c r="P16" s="309"/>
      <c r="Q16" s="309"/>
      <c r="R16" s="309"/>
      <c r="S16" s="309"/>
      <c r="T16" s="111"/>
      <c r="U16" s="111"/>
      <c r="V16" s="111"/>
      <c r="W16" s="111"/>
      <c r="X16" s="111"/>
      <c r="Y16" s="111"/>
    </row>
    <row r="17" spans="1:28" s="109" customFormat="1" ht="45.75" customHeight="1" x14ac:dyDescent="0.2">
      <c r="A17" s="311" t="s">
        <v>381</v>
      </c>
      <c r="B17" s="311"/>
      <c r="C17" s="311"/>
      <c r="D17" s="311"/>
      <c r="E17" s="311"/>
      <c r="F17" s="311"/>
      <c r="G17" s="311"/>
      <c r="H17" s="311"/>
      <c r="I17" s="311"/>
      <c r="J17" s="311"/>
      <c r="K17" s="311"/>
      <c r="L17" s="311"/>
      <c r="M17" s="311"/>
      <c r="N17" s="311"/>
      <c r="O17" s="311"/>
      <c r="P17" s="311"/>
      <c r="Q17" s="311"/>
      <c r="R17" s="311"/>
      <c r="S17" s="311"/>
      <c r="T17" s="114"/>
      <c r="U17" s="114"/>
      <c r="V17" s="114"/>
      <c r="W17" s="114"/>
      <c r="X17" s="114"/>
      <c r="Y17" s="114"/>
      <c r="Z17" s="114"/>
      <c r="AA17" s="114"/>
      <c r="AB17" s="114"/>
    </row>
    <row r="18" spans="1:28" s="109" customFormat="1" ht="15" customHeight="1" x14ac:dyDescent="0.2">
      <c r="A18" s="312"/>
      <c r="B18" s="312"/>
      <c r="C18" s="312"/>
      <c r="D18" s="312"/>
      <c r="E18" s="312"/>
      <c r="F18" s="312"/>
      <c r="G18" s="312"/>
      <c r="H18" s="312"/>
      <c r="I18" s="312"/>
      <c r="J18" s="312"/>
      <c r="K18" s="312"/>
      <c r="L18" s="312"/>
      <c r="M18" s="312"/>
      <c r="N18" s="312"/>
      <c r="O18" s="312"/>
      <c r="P18" s="312"/>
      <c r="Q18" s="312"/>
      <c r="R18" s="312"/>
      <c r="S18" s="312"/>
      <c r="T18" s="111"/>
      <c r="U18" s="111"/>
      <c r="V18" s="111"/>
      <c r="W18" s="111"/>
      <c r="X18" s="111"/>
      <c r="Y18" s="111"/>
    </row>
    <row r="19" spans="1:28" s="109" customFormat="1" ht="54" customHeight="1" x14ac:dyDescent="0.2">
      <c r="A19" s="303" t="s">
        <v>3</v>
      </c>
      <c r="B19" s="303" t="s">
        <v>94</v>
      </c>
      <c r="C19" s="305" t="s">
        <v>302</v>
      </c>
      <c r="D19" s="303" t="s">
        <v>301</v>
      </c>
      <c r="E19" s="303" t="s">
        <v>93</v>
      </c>
      <c r="F19" s="303" t="s">
        <v>92</v>
      </c>
      <c r="G19" s="303" t="s">
        <v>297</v>
      </c>
      <c r="H19" s="303" t="s">
        <v>91</v>
      </c>
      <c r="I19" s="303" t="s">
        <v>90</v>
      </c>
      <c r="J19" s="303" t="s">
        <v>89</v>
      </c>
      <c r="K19" s="303" t="s">
        <v>88</v>
      </c>
      <c r="L19" s="303" t="s">
        <v>87</v>
      </c>
      <c r="M19" s="303" t="s">
        <v>86</v>
      </c>
      <c r="N19" s="303" t="s">
        <v>85</v>
      </c>
      <c r="O19" s="303" t="s">
        <v>84</v>
      </c>
      <c r="P19" s="303" t="s">
        <v>83</v>
      </c>
      <c r="Q19" s="303" t="s">
        <v>300</v>
      </c>
      <c r="R19" s="303"/>
      <c r="S19" s="307" t="s">
        <v>375</v>
      </c>
      <c r="T19" s="111"/>
      <c r="U19" s="111"/>
      <c r="V19" s="111"/>
      <c r="W19" s="111"/>
      <c r="X19" s="111"/>
      <c r="Y19" s="111"/>
    </row>
    <row r="20" spans="1:28" s="109" customFormat="1" ht="180.75" customHeight="1" x14ac:dyDescent="0.2">
      <c r="A20" s="303"/>
      <c r="B20" s="303"/>
      <c r="C20" s="306"/>
      <c r="D20" s="303"/>
      <c r="E20" s="303"/>
      <c r="F20" s="303"/>
      <c r="G20" s="303"/>
      <c r="H20" s="303"/>
      <c r="I20" s="303"/>
      <c r="J20" s="303"/>
      <c r="K20" s="303"/>
      <c r="L20" s="303"/>
      <c r="M20" s="303"/>
      <c r="N20" s="303"/>
      <c r="O20" s="303"/>
      <c r="P20" s="303"/>
      <c r="Q20" s="115" t="s">
        <v>298</v>
      </c>
      <c r="R20" s="116" t="s">
        <v>299</v>
      </c>
      <c r="S20" s="307"/>
      <c r="T20" s="111"/>
      <c r="U20" s="111"/>
      <c r="V20" s="111"/>
      <c r="W20" s="111"/>
      <c r="X20" s="111"/>
      <c r="Y20" s="111"/>
    </row>
    <row r="21" spans="1:28" s="109" customFormat="1" ht="18.75" x14ac:dyDescent="0.2">
      <c r="A21" s="115">
        <v>1</v>
      </c>
      <c r="B21" s="117">
        <v>2</v>
      </c>
      <c r="C21" s="115">
        <v>3</v>
      </c>
      <c r="D21" s="117">
        <v>4</v>
      </c>
      <c r="E21" s="115">
        <v>5</v>
      </c>
      <c r="F21" s="117">
        <v>6</v>
      </c>
      <c r="G21" s="115">
        <v>7</v>
      </c>
      <c r="H21" s="117">
        <v>8</v>
      </c>
      <c r="I21" s="115">
        <v>9</v>
      </c>
      <c r="J21" s="117">
        <v>10</v>
      </c>
      <c r="K21" s="115">
        <v>11</v>
      </c>
      <c r="L21" s="117">
        <v>12</v>
      </c>
      <c r="M21" s="115">
        <v>13</v>
      </c>
      <c r="N21" s="117">
        <v>14</v>
      </c>
      <c r="O21" s="115">
        <v>15</v>
      </c>
      <c r="P21" s="117">
        <v>16</v>
      </c>
      <c r="Q21" s="115">
        <v>17</v>
      </c>
      <c r="R21" s="117">
        <v>18</v>
      </c>
      <c r="S21" s="115">
        <v>19</v>
      </c>
      <c r="T21" s="111"/>
      <c r="U21" s="111"/>
      <c r="V21" s="111"/>
      <c r="W21" s="111"/>
      <c r="X21" s="111"/>
      <c r="Y21" s="111"/>
    </row>
    <row r="22" spans="1:28" s="109" customFormat="1" ht="32.25" customHeight="1" x14ac:dyDescent="0.2">
      <c r="A22" s="115"/>
      <c r="B22" s="117" t="s">
        <v>537</v>
      </c>
      <c r="C22" s="117" t="s">
        <v>587</v>
      </c>
      <c r="D22" s="117" t="s">
        <v>537</v>
      </c>
      <c r="E22" s="117" t="s">
        <v>537</v>
      </c>
      <c r="F22" s="117" t="s">
        <v>537</v>
      </c>
      <c r="G22" s="117" t="s">
        <v>537</v>
      </c>
      <c r="H22" s="117" t="s">
        <v>537</v>
      </c>
      <c r="I22" s="117" t="s">
        <v>537</v>
      </c>
      <c r="J22" s="117" t="s">
        <v>537</v>
      </c>
      <c r="K22" s="117" t="s">
        <v>537</v>
      </c>
      <c r="L22" s="117" t="s">
        <v>537</v>
      </c>
      <c r="M22" s="117" t="s">
        <v>537</v>
      </c>
      <c r="N22" s="117" t="s">
        <v>537</v>
      </c>
      <c r="O22" s="117" t="s">
        <v>537</v>
      </c>
      <c r="P22" s="117" t="s">
        <v>537</v>
      </c>
      <c r="Q22" s="117" t="s">
        <v>537</v>
      </c>
      <c r="R22" s="117" t="s">
        <v>537</v>
      </c>
      <c r="S22" s="117" t="s">
        <v>537</v>
      </c>
      <c r="T22" s="111"/>
      <c r="U22" s="111"/>
      <c r="V22" s="111"/>
      <c r="W22" s="111"/>
      <c r="X22" s="111"/>
      <c r="Y22" s="111"/>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3" zoomScale="80" zoomScaleNormal="60" zoomScaleSheetLayoutView="80" workbookViewId="0">
      <selection activeCell="D26" sqref="D26"/>
    </sheetView>
  </sheetViews>
  <sheetFormatPr defaultColWidth="10.7109375" defaultRowHeight="15.75" x14ac:dyDescent="0.25"/>
  <cols>
    <col min="1" max="1" width="9.5703125" style="26" customWidth="1"/>
    <col min="2" max="3" width="15.7109375" style="26" customWidth="1"/>
    <col min="4" max="4" width="22" style="26" customWidth="1"/>
    <col min="5" max="5" width="25.7109375" style="26" customWidth="1"/>
    <col min="6" max="6" width="24.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95" t="str">
        <f>'1. паспорт местоположение'!A5:C5</f>
        <v>Год раскрытия информации: 2024 год</v>
      </c>
      <c r="B6" s="295"/>
      <c r="C6" s="295"/>
      <c r="D6" s="295"/>
      <c r="E6" s="295"/>
      <c r="F6" s="295"/>
      <c r="G6" s="295"/>
      <c r="H6" s="295"/>
      <c r="I6" s="295"/>
      <c r="J6" s="295"/>
      <c r="K6" s="295"/>
      <c r="L6" s="295"/>
      <c r="M6" s="295"/>
      <c r="N6" s="295"/>
      <c r="O6" s="295"/>
      <c r="P6" s="295"/>
      <c r="Q6" s="295"/>
      <c r="R6" s="295"/>
      <c r="S6" s="295"/>
      <c r="T6" s="295"/>
    </row>
    <row r="7" spans="1:20" s="14" customFormat="1" x14ac:dyDescent="0.2">
      <c r="A7" s="108"/>
    </row>
    <row r="8" spans="1:20" s="14" customFormat="1" ht="18.75" x14ac:dyDescent="0.2">
      <c r="A8" s="304" t="s">
        <v>7</v>
      </c>
      <c r="B8" s="304"/>
      <c r="C8" s="304"/>
      <c r="D8" s="304"/>
      <c r="E8" s="304"/>
      <c r="F8" s="304"/>
      <c r="G8" s="304"/>
      <c r="H8" s="304"/>
      <c r="I8" s="304"/>
      <c r="J8" s="304"/>
      <c r="K8" s="304"/>
      <c r="L8" s="304"/>
      <c r="M8" s="304"/>
      <c r="N8" s="304"/>
      <c r="O8" s="304"/>
      <c r="P8" s="304"/>
      <c r="Q8" s="304"/>
      <c r="R8" s="304"/>
      <c r="S8" s="304"/>
      <c r="T8" s="304"/>
    </row>
    <row r="9" spans="1:20" s="14" customFormat="1" ht="18.75" x14ac:dyDescent="0.2">
      <c r="A9" s="304"/>
      <c r="B9" s="304"/>
      <c r="C9" s="304"/>
      <c r="D9" s="304"/>
      <c r="E9" s="304"/>
      <c r="F9" s="304"/>
      <c r="G9" s="304"/>
      <c r="H9" s="304"/>
      <c r="I9" s="304"/>
      <c r="J9" s="304"/>
      <c r="K9" s="304"/>
      <c r="L9" s="304"/>
      <c r="M9" s="304"/>
      <c r="N9" s="304"/>
      <c r="O9" s="304"/>
      <c r="P9" s="304"/>
      <c r="Q9" s="304"/>
      <c r="R9" s="304"/>
      <c r="S9" s="304"/>
      <c r="T9" s="304"/>
    </row>
    <row r="10" spans="1:20" s="14" customFormat="1" ht="18.75" customHeight="1" x14ac:dyDescent="0.2">
      <c r="A10" s="302" t="str">
        <f>'1. паспорт местоположение'!A9:C9</f>
        <v xml:space="preserve">Акционерное общество "Западная энергетическая компания" </v>
      </c>
      <c r="B10" s="302"/>
      <c r="C10" s="302"/>
      <c r="D10" s="302"/>
      <c r="E10" s="302"/>
      <c r="F10" s="302"/>
      <c r="G10" s="302"/>
      <c r="H10" s="302"/>
      <c r="I10" s="302"/>
      <c r="J10" s="302"/>
      <c r="K10" s="302"/>
      <c r="L10" s="302"/>
      <c r="M10" s="302"/>
      <c r="N10" s="302"/>
      <c r="O10" s="302"/>
      <c r="P10" s="302"/>
      <c r="Q10" s="302"/>
      <c r="R10" s="302"/>
      <c r="S10" s="302"/>
      <c r="T10" s="302"/>
    </row>
    <row r="11" spans="1:20" s="14" customFormat="1" ht="18.75" customHeight="1" x14ac:dyDescent="0.2">
      <c r="A11" s="308" t="s">
        <v>6</v>
      </c>
      <c r="B11" s="308"/>
      <c r="C11" s="308"/>
      <c r="D11" s="308"/>
      <c r="E11" s="308"/>
      <c r="F11" s="308"/>
      <c r="G11" s="308"/>
      <c r="H11" s="308"/>
      <c r="I11" s="308"/>
      <c r="J11" s="308"/>
      <c r="K11" s="308"/>
      <c r="L11" s="308"/>
      <c r="M11" s="308"/>
      <c r="N11" s="308"/>
      <c r="O11" s="308"/>
      <c r="P11" s="308"/>
      <c r="Q11" s="308"/>
      <c r="R11" s="308"/>
      <c r="S11" s="308"/>
      <c r="T11" s="308"/>
    </row>
    <row r="12" spans="1:20" s="14" customFormat="1" ht="18.75" x14ac:dyDescent="0.2">
      <c r="A12" s="304"/>
      <c r="B12" s="304"/>
      <c r="C12" s="304"/>
      <c r="D12" s="304"/>
      <c r="E12" s="304"/>
      <c r="F12" s="304"/>
      <c r="G12" s="304"/>
      <c r="H12" s="304"/>
      <c r="I12" s="304"/>
      <c r="J12" s="304"/>
      <c r="K12" s="304"/>
      <c r="L12" s="304"/>
      <c r="M12" s="304"/>
      <c r="N12" s="304"/>
      <c r="O12" s="304"/>
      <c r="P12" s="304"/>
      <c r="Q12" s="304"/>
      <c r="R12" s="304"/>
      <c r="S12" s="304"/>
      <c r="T12" s="304"/>
    </row>
    <row r="13" spans="1:20" s="14" customFormat="1" ht="18.75" customHeight="1" x14ac:dyDescent="0.2">
      <c r="A13" s="302" t="str">
        <f>'1. паспорт местоположение'!A12:C12</f>
        <v>J_19-05</v>
      </c>
      <c r="B13" s="302"/>
      <c r="C13" s="302"/>
      <c r="D13" s="302"/>
      <c r="E13" s="302"/>
      <c r="F13" s="302"/>
      <c r="G13" s="302"/>
      <c r="H13" s="302"/>
      <c r="I13" s="302"/>
      <c r="J13" s="302"/>
      <c r="K13" s="302"/>
      <c r="L13" s="302"/>
      <c r="M13" s="302"/>
      <c r="N13" s="302"/>
      <c r="O13" s="302"/>
      <c r="P13" s="302"/>
      <c r="Q13" s="302"/>
      <c r="R13" s="302"/>
      <c r="S13" s="302"/>
      <c r="T13" s="302"/>
    </row>
    <row r="14" spans="1:20" s="14" customFormat="1" ht="18.75" customHeight="1" x14ac:dyDescent="0.2">
      <c r="A14" s="308" t="s">
        <v>5</v>
      </c>
      <c r="B14" s="308"/>
      <c r="C14" s="308"/>
      <c r="D14" s="308"/>
      <c r="E14" s="308"/>
      <c r="F14" s="308"/>
      <c r="G14" s="308"/>
      <c r="H14" s="308"/>
      <c r="I14" s="308"/>
      <c r="J14" s="308"/>
      <c r="K14" s="308"/>
      <c r="L14" s="308"/>
      <c r="M14" s="308"/>
      <c r="N14" s="308"/>
      <c r="O14" s="308"/>
      <c r="P14" s="308"/>
      <c r="Q14" s="308"/>
      <c r="R14" s="308"/>
      <c r="S14" s="308"/>
      <c r="T14" s="308"/>
    </row>
    <row r="15" spans="1:20" s="14" customFormat="1" ht="15.75" customHeight="1" x14ac:dyDescent="0.2">
      <c r="A15" s="309"/>
      <c r="B15" s="309"/>
      <c r="C15" s="309"/>
      <c r="D15" s="309"/>
      <c r="E15" s="309"/>
      <c r="F15" s="309"/>
      <c r="G15" s="309"/>
      <c r="H15" s="309"/>
      <c r="I15" s="309"/>
      <c r="J15" s="309"/>
      <c r="K15" s="309"/>
      <c r="L15" s="309"/>
      <c r="M15" s="309"/>
      <c r="N15" s="309"/>
      <c r="O15" s="309"/>
      <c r="P15" s="309"/>
      <c r="Q15" s="309"/>
      <c r="R15" s="309"/>
      <c r="S15" s="309"/>
      <c r="T15" s="309"/>
    </row>
    <row r="16" spans="1:20" s="109" customFormat="1" x14ac:dyDescent="0.2">
      <c r="A16" s="310"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6" s="310"/>
      <c r="C16" s="310"/>
      <c r="D16" s="310"/>
      <c r="E16" s="310"/>
      <c r="F16" s="310"/>
      <c r="G16" s="310"/>
      <c r="H16" s="310"/>
      <c r="I16" s="310"/>
      <c r="J16" s="310"/>
      <c r="K16" s="310"/>
      <c r="L16" s="310"/>
      <c r="M16" s="310"/>
      <c r="N16" s="310"/>
      <c r="O16" s="310"/>
      <c r="P16" s="310"/>
      <c r="Q16" s="310"/>
      <c r="R16" s="310"/>
      <c r="S16" s="310"/>
      <c r="T16" s="310"/>
    </row>
    <row r="17" spans="1:20" s="109" customFormat="1" ht="15" customHeight="1" x14ac:dyDescent="0.2">
      <c r="A17" s="308" t="s">
        <v>4</v>
      </c>
      <c r="B17" s="308"/>
      <c r="C17" s="308"/>
      <c r="D17" s="308"/>
      <c r="E17" s="308"/>
      <c r="F17" s="308"/>
      <c r="G17" s="308"/>
      <c r="H17" s="308"/>
      <c r="I17" s="308"/>
      <c r="J17" s="308"/>
      <c r="K17" s="308"/>
      <c r="L17" s="308"/>
      <c r="M17" s="308"/>
      <c r="N17" s="308"/>
      <c r="O17" s="308"/>
      <c r="P17" s="308"/>
      <c r="Q17" s="308"/>
      <c r="R17" s="308"/>
      <c r="S17" s="308"/>
      <c r="T17" s="308"/>
    </row>
    <row r="18" spans="1:20" s="109" customFormat="1" ht="15" customHeight="1" x14ac:dyDescent="0.2">
      <c r="A18" s="309"/>
      <c r="B18" s="309"/>
      <c r="C18" s="309"/>
      <c r="D18" s="309"/>
      <c r="E18" s="309"/>
      <c r="F18" s="309"/>
      <c r="G18" s="309"/>
      <c r="H18" s="309"/>
      <c r="I18" s="309"/>
      <c r="J18" s="309"/>
      <c r="K18" s="309"/>
      <c r="L18" s="309"/>
      <c r="M18" s="309"/>
      <c r="N18" s="309"/>
      <c r="O18" s="309"/>
      <c r="P18" s="309"/>
      <c r="Q18" s="309"/>
      <c r="R18" s="309"/>
      <c r="S18" s="309"/>
      <c r="T18" s="309"/>
    </row>
    <row r="19" spans="1:20" s="109" customFormat="1" ht="15" customHeight="1" x14ac:dyDescent="0.2">
      <c r="A19" s="327" t="s">
        <v>386</v>
      </c>
      <c r="B19" s="327"/>
      <c r="C19" s="327"/>
      <c r="D19" s="327"/>
      <c r="E19" s="327"/>
      <c r="F19" s="327"/>
      <c r="G19" s="327"/>
      <c r="H19" s="327"/>
      <c r="I19" s="327"/>
      <c r="J19" s="327"/>
      <c r="K19" s="327"/>
      <c r="L19" s="327"/>
      <c r="M19" s="327"/>
      <c r="N19" s="327"/>
      <c r="O19" s="327"/>
      <c r="P19" s="327"/>
      <c r="Q19" s="327"/>
      <c r="R19" s="327"/>
      <c r="S19" s="327"/>
      <c r="T19" s="327"/>
    </row>
    <row r="20" spans="1:20" s="27" customFormat="1" ht="21" customHeight="1" x14ac:dyDescent="0.25">
      <c r="A20" s="328"/>
      <c r="B20" s="328"/>
      <c r="C20" s="328"/>
      <c r="D20" s="328"/>
      <c r="E20" s="328"/>
      <c r="F20" s="328"/>
      <c r="G20" s="328"/>
      <c r="H20" s="328"/>
      <c r="I20" s="328"/>
      <c r="J20" s="328"/>
      <c r="K20" s="328"/>
      <c r="L20" s="328"/>
      <c r="M20" s="328"/>
      <c r="N20" s="328"/>
      <c r="O20" s="328"/>
      <c r="P20" s="328"/>
      <c r="Q20" s="328"/>
      <c r="R20" s="328"/>
      <c r="S20" s="328"/>
      <c r="T20" s="328"/>
    </row>
    <row r="21" spans="1:20" ht="46.5" customHeight="1" x14ac:dyDescent="0.25">
      <c r="A21" s="321" t="s">
        <v>3</v>
      </c>
      <c r="B21" s="314" t="s">
        <v>200</v>
      </c>
      <c r="C21" s="315"/>
      <c r="D21" s="318" t="s">
        <v>116</v>
      </c>
      <c r="E21" s="314" t="s">
        <v>414</v>
      </c>
      <c r="F21" s="315"/>
      <c r="G21" s="314" t="s">
        <v>238</v>
      </c>
      <c r="H21" s="315"/>
      <c r="I21" s="314" t="s">
        <v>115</v>
      </c>
      <c r="J21" s="315"/>
      <c r="K21" s="318" t="s">
        <v>114</v>
      </c>
      <c r="L21" s="314" t="s">
        <v>113</v>
      </c>
      <c r="M21" s="315"/>
      <c r="N21" s="314" t="s">
        <v>441</v>
      </c>
      <c r="O21" s="315"/>
      <c r="P21" s="318" t="s">
        <v>112</v>
      </c>
      <c r="Q21" s="324" t="s">
        <v>111</v>
      </c>
      <c r="R21" s="325"/>
      <c r="S21" s="324" t="s">
        <v>110</v>
      </c>
      <c r="T21" s="326"/>
    </row>
    <row r="22" spans="1:20" ht="204.75" customHeight="1" x14ac:dyDescent="0.25">
      <c r="A22" s="322"/>
      <c r="B22" s="316"/>
      <c r="C22" s="317"/>
      <c r="D22" s="320"/>
      <c r="E22" s="316"/>
      <c r="F22" s="317"/>
      <c r="G22" s="316"/>
      <c r="H22" s="317"/>
      <c r="I22" s="316"/>
      <c r="J22" s="317"/>
      <c r="K22" s="319"/>
      <c r="L22" s="316"/>
      <c r="M22" s="317"/>
      <c r="N22" s="316"/>
      <c r="O22" s="317"/>
      <c r="P22" s="319"/>
      <c r="Q22" s="54" t="s">
        <v>109</v>
      </c>
      <c r="R22" s="54" t="s">
        <v>385</v>
      </c>
      <c r="S22" s="54" t="s">
        <v>108</v>
      </c>
      <c r="T22" s="54" t="s">
        <v>107</v>
      </c>
    </row>
    <row r="23" spans="1:20" ht="51.75" customHeight="1" x14ac:dyDescent="0.25">
      <c r="A23" s="323"/>
      <c r="B23" s="54" t="s">
        <v>105</v>
      </c>
      <c r="C23" s="54" t="s">
        <v>106</v>
      </c>
      <c r="D23" s="319"/>
      <c r="E23" s="54" t="s">
        <v>105</v>
      </c>
      <c r="F23" s="54" t="s">
        <v>106</v>
      </c>
      <c r="G23" s="54" t="s">
        <v>105</v>
      </c>
      <c r="H23" s="54" t="s">
        <v>106</v>
      </c>
      <c r="I23" s="54" t="s">
        <v>105</v>
      </c>
      <c r="J23" s="54" t="s">
        <v>106</v>
      </c>
      <c r="K23" s="54" t="s">
        <v>105</v>
      </c>
      <c r="L23" s="54" t="s">
        <v>105</v>
      </c>
      <c r="M23" s="54" t="s">
        <v>106</v>
      </c>
      <c r="N23" s="54" t="s">
        <v>105</v>
      </c>
      <c r="O23" s="54" t="s">
        <v>106</v>
      </c>
      <c r="P23" s="106"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88.15" customHeight="1" x14ac:dyDescent="0.25">
      <c r="A25" s="95">
        <v>1</v>
      </c>
      <c r="B25" s="95" t="s">
        <v>564</v>
      </c>
      <c r="C25" s="95" t="s">
        <v>564</v>
      </c>
      <c r="D25" s="95" t="s">
        <v>565</v>
      </c>
      <c r="E25" s="95" t="s">
        <v>631</v>
      </c>
      <c r="F25" s="95" t="s">
        <v>630</v>
      </c>
      <c r="G25" s="95" t="s">
        <v>566</v>
      </c>
      <c r="H25" s="95" t="s">
        <v>567</v>
      </c>
      <c r="I25" s="186" t="s">
        <v>568</v>
      </c>
      <c r="J25" s="186" t="s">
        <v>569</v>
      </c>
      <c r="K25" s="186" t="s">
        <v>570</v>
      </c>
      <c r="L25" s="186" t="s">
        <v>56</v>
      </c>
      <c r="M25" s="186" t="s">
        <v>68</v>
      </c>
      <c r="N25" s="95" t="s">
        <v>296</v>
      </c>
      <c r="O25" s="95" t="s">
        <v>296</v>
      </c>
      <c r="P25" s="186" t="s">
        <v>296</v>
      </c>
      <c r="Q25" s="186" t="s">
        <v>296</v>
      </c>
      <c r="R25" s="186" t="s">
        <v>296</v>
      </c>
      <c r="S25" s="186" t="s">
        <v>296</v>
      </c>
      <c r="T25" s="95" t="s">
        <v>296</v>
      </c>
    </row>
    <row r="26" spans="1:20" ht="31.5" x14ac:dyDescent="0.25">
      <c r="A26" s="95">
        <v>2</v>
      </c>
      <c r="B26" s="95"/>
      <c r="C26" s="95"/>
      <c r="D26" s="187" t="s">
        <v>571</v>
      </c>
      <c r="E26" s="187" t="s">
        <v>604</v>
      </c>
      <c r="F26" s="187" t="s">
        <v>605</v>
      </c>
      <c r="G26" s="187" t="s">
        <v>571</v>
      </c>
      <c r="H26" s="187" t="s">
        <v>571</v>
      </c>
      <c r="I26" s="186" t="s">
        <v>572</v>
      </c>
      <c r="J26" s="187">
        <v>2020</v>
      </c>
      <c r="K26" s="186" t="s">
        <v>573</v>
      </c>
      <c r="L26" s="186" t="s">
        <v>56</v>
      </c>
      <c r="M26" s="186" t="s">
        <v>68</v>
      </c>
      <c r="N26" s="188">
        <v>0.1</v>
      </c>
      <c r="O26" s="188">
        <v>0.1</v>
      </c>
      <c r="P26" s="186" t="s">
        <v>296</v>
      </c>
      <c r="Q26" s="186"/>
      <c r="R26" s="186"/>
      <c r="S26" s="188" t="s">
        <v>296</v>
      </c>
      <c r="T26" s="188" t="s">
        <v>296</v>
      </c>
    </row>
    <row r="27" spans="1:20" x14ac:dyDescent="0.25">
      <c r="A27" s="95">
        <v>3</v>
      </c>
      <c r="B27" s="95"/>
      <c r="C27" s="95"/>
      <c r="D27" s="187"/>
      <c r="E27" s="187"/>
      <c r="F27" s="187"/>
      <c r="G27" s="187"/>
      <c r="H27" s="187"/>
      <c r="I27" s="186"/>
      <c r="J27" s="187"/>
      <c r="K27" s="186"/>
      <c r="L27" s="186"/>
      <c r="M27" s="186"/>
      <c r="N27" s="188"/>
      <c r="O27" s="188"/>
      <c r="P27" s="186"/>
      <c r="Q27" s="186"/>
      <c r="R27" s="186"/>
      <c r="S27" s="188" t="s">
        <v>296</v>
      </c>
      <c r="T27" s="188" t="s">
        <v>296</v>
      </c>
    </row>
    <row r="28" spans="1:20" x14ac:dyDescent="0.25">
      <c r="A28" s="95">
        <v>4</v>
      </c>
      <c r="B28" s="95"/>
      <c r="C28" s="95"/>
      <c r="D28" s="187"/>
      <c r="E28" s="187"/>
      <c r="F28" s="187"/>
      <c r="G28" s="187"/>
      <c r="H28" s="187"/>
      <c r="I28" s="186"/>
      <c r="J28" s="187"/>
      <c r="K28" s="186"/>
      <c r="L28" s="186"/>
      <c r="M28" s="186"/>
      <c r="N28" s="188"/>
      <c r="O28" s="188"/>
      <c r="P28" s="186"/>
      <c r="Q28" s="186"/>
      <c r="R28" s="186"/>
      <c r="S28" s="188" t="s">
        <v>296</v>
      </c>
      <c r="T28" s="188" t="s">
        <v>296</v>
      </c>
    </row>
    <row r="29" spans="1:20" x14ac:dyDescent="0.25">
      <c r="A29" s="30"/>
      <c r="B29" s="30"/>
      <c r="C29" s="30"/>
      <c r="D29" s="30"/>
      <c r="E29" s="30"/>
      <c r="F29" s="30"/>
      <c r="G29" s="30"/>
      <c r="H29" s="30"/>
      <c r="I29" s="30"/>
      <c r="J29" s="30"/>
      <c r="K29" s="30"/>
      <c r="L29" s="30"/>
      <c r="M29" s="30"/>
      <c r="N29" s="30"/>
      <c r="O29" s="30"/>
      <c r="P29" s="30"/>
      <c r="Q29" s="30"/>
      <c r="R29" s="30"/>
      <c r="S29" s="30"/>
      <c r="T29" s="30"/>
    </row>
    <row r="30" spans="1:20" s="30" customFormat="1" ht="12.75" x14ac:dyDescent="0.2"/>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13" t="s">
        <v>420</v>
      </c>
      <c r="C32" s="313"/>
      <c r="D32" s="313"/>
      <c r="E32" s="313"/>
      <c r="F32" s="313"/>
      <c r="G32" s="313"/>
      <c r="H32" s="313"/>
      <c r="I32" s="313"/>
      <c r="J32" s="313"/>
      <c r="K32" s="313"/>
      <c r="L32" s="313"/>
      <c r="M32" s="313"/>
      <c r="N32" s="313"/>
      <c r="O32" s="313"/>
      <c r="P32" s="313"/>
      <c r="Q32" s="313"/>
      <c r="R32" s="313"/>
    </row>
    <row r="34" spans="2:113" x14ac:dyDescent="0.25">
      <c r="B34" s="28" t="s">
        <v>384</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honeticPr fontId="85" type="noConversion"/>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topLeftCell="A4" zoomScale="80" zoomScaleSheetLayoutView="80" workbookViewId="0">
      <selection activeCell="E15" sqref="E15:Y1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8"/>
    </row>
    <row r="5" spans="1:27" s="14" customFormat="1" x14ac:dyDescent="0.2">
      <c r="A5" s="295" t="str">
        <f>'1. паспорт местоположение'!A5:C5</f>
        <v>Год раскрытия информации: 2024 год</v>
      </c>
      <c r="B5" s="295"/>
      <c r="C5" s="295"/>
      <c r="D5" s="295"/>
      <c r="E5" s="295"/>
      <c r="F5" s="295"/>
      <c r="G5" s="295"/>
      <c r="H5" s="295"/>
      <c r="I5" s="295"/>
      <c r="J5" s="295"/>
      <c r="K5" s="295"/>
      <c r="L5" s="295"/>
      <c r="M5" s="295"/>
      <c r="N5" s="295"/>
      <c r="O5" s="295"/>
      <c r="P5" s="295"/>
      <c r="Q5" s="295"/>
      <c r="R5" s="295"/>
      <c r="S5" s="295"/>
      <c r="T5" s="295"/>
      <c r="U5" s="295"/>
      <c r="V5" s="295"/>
      <c r="W5" s="295"/>
      <c r="X5" s="295"/>
      <c r="Y5" s="295"/>
      <c r="Z5" s="295"/>
      <c r="AA5" s="295"/>
    </row>
    <row r="6" spans="1:27" s="14" customFormat="1" x14ac:dyDescent="0.2">
      <c r="A6" s="105"/>
      <c r="B6" s="105"/>
      <c r="C6" s="105"/>
      <c r="D6" s="105"/>
      <c r="E6" s="105"/>
      <c r="F6" s="105"/>
      <c r="G6" s="105"/>
      <c r="H6" s="105"/>
      <c r="I6" s="105"/>
      <c r="J6" s="105"/>
      <c r="K6" s="105"/>
      <c r="L6" s="105"/>
      <c r="M6" s="105"/>
      <c r="N6" s="105"/>
      <c r="O6" s="105"/>
      <c r="P6" s="105"/>
      <c r="Q6" s="105"/>
      <c r="R6" s="105"/>
      <c r="S6" s="105"/>
      <c r="T6" s="105"/>
    </row>
    <row r="7" spans="1:27" s="14" customFormat="1" ht="18.75" x14ac:dyDescent="0.2">
      <c r="E7" s="304" t="s">
        <v>7</v>
      </c>
      <c r="F7" s="304"/>
      <c r="G7" s="304"/>
      <c r="H7" s="304"/>
      <c r="I7" s="304"/>
      <c r="J7" s="304"/>
      <c r="K7" s="304"/>
      <c r="L7" s="304"/>
      <c r="M7" s="304"/>
      <c r="N7" s="304"/>
      <c r="O7" s="304"/>
      <c r="P7" s="304"/>
      <c r="Q7" s="304"/>
      <c r="R7" s="304"/>
      <c r="S7" s="304"/>
      <c r="T7" s="304"/>
      <c r="U7" s="304"/>
      <c r="V7" s="304"/>
      <c r="W7" s="304"/>
      <c r="X7" s="304"/>
      <c r="Y7" s="304"/>
    </row>
    <row r="8" spans="1:27" s="14" customFormat="1" ht="18.75" x14ac:dyDescent="0.2">
      <c r="E8" s="121"/>
      <c r="F8" s="121"/>
      <c r="G8" s="121"/>
      <c r="H8" s="121"/>
      <c r="I8" s="121"/>
      <c r="J8" s="121"/>
      <c r="K8" s="121"/>
      <c r="L8" s="121"/>
      <c r="M8" s="121"/>
      <c r="N8" s="121"/>
      <c r="O8" s="121"/>
      <c r="P8" s="121"/>
      <c r="Q8" s="121"/>
      <c r="R8" s="121"/>
      <c r="S8" s="110"/>
      <c r="T8" s="110"/>
      <c r="U8" s="110"/>
      <c r="V8" s="110"/>
      <c r="W8" s="110"/>
    </row>
    <row r="9" spans="1:27" s="14" customFormat="1" ht="18.75" customHeight="1" x14ac:dyDescent="0.2">
      <c r="E9" s="302" t="str">
        <f>'1. паспорт местоположение'!A9</f>
        <v xml:space="preserve">Акционерное общество "Западная энергетическая компания" </v>
      </c>
      <c r="F9" s="302"/>
      <c r="G9" s="302"/>
      <c r="H9" s="302"/>
      <c r="I9" s="302"/>
      <c r="J9" s="302"/>
      <c r="K9" s="302"/>
      <c r="L9" s="302"/>
      <c r="M9" s="302"/>
      <c r="N9" s="302"/>
      <c r="O9" s="302"/>
      <c r="P9" s="302"/>
      <c r="Q9" s="302"/>
      <c r="R9" s="302"/>
      <c r="S9" s="302"/>
      <c r="T9" s="302"/>
      <c r="U9" s="302"/>
      <c r="V9" s="302"/>
      <c r="W9" s="302"/>
      <c r="X9" s="302"/>
      <c r="Y9" s="302"/>
    </row>
    <row r="10" spans="1:27" s="14" customFormat="1" ht="18.75" customHeight="1" x14ac:dyDescent="0.2">
      <c r="E10" s="308" t="s">
        <v>6</v>
      </c>
      <c r="F10" s="308"/>
      <c r="G10" s="308"/>
      <c r="H10" s="308"/>
      <c r="I10" s="308"/>
      <c r="J10" s="308"/>
      <c r="K10" s="308"/>
      <c r="L10" s="308"/>
      <c r="M10" s="308"/>
      <c r="N10" s="308"/>
      <c r="O10" s="308"/>
      <c r="P10" s="308"/>
      <c r="Q10" s="308"/>
      <c r="R10" s="308"/>
      <c r="S10" s="308"/>
      <c r="T10" s="308"/>
      <c r="U10" s="308"/>
      <c r="V10" s="308"/>
      <c r="W10" s="308"/>
      <c r="X10" s="308"/>
      <c r="Y10" s="308"/>
    </row>
    <row r="11" spans="1:27" s="14" customFormat="1" ht="18.75" x14ac:dyDescent="0.2">
      <c r="E11" s="121"/>
      <c r="F11" s="121"/>
      <c r="G11" s="121"/>
      <c r="H11" s="121"/>
      <c r="I11" s="121"/>
      <c r="J11" s="121"/>
      <c r="K11" s="121"/>
      <c r="L11" s="121"/>
      <c r="M11" s="121"/>
      <c r="N11" s="121"/>
      <c r="O11" s="121"/>
      <c r="P11" s="121"/>
      <c r="Q11" s="121"/>
      <c r="R11" s="121"/>
      <c r="S11" s="110"/>
      <c r="T11" s="110"/>
      <c r="U11" s="110"/>
      <c r="V11" s="110"/>
      <c r="W11" s="110"/>
    </row>
    <row r="12" spans="1:27" s="14" customFormat="1" ht="18.75" customHeight="1" x14ac:dyDescent="0.2">
      <c r="E12" s="302" t="str">
        <f>'1. паспорт местоположение'!A12</f>
        <v>J_19-05</v>
      </c>
      <c r="F12" s="302"/>
      <c r="G12" s="302"/>
      <c r="H12" s="302"/>
      <c r="I12" s="302"/>
      <c r="J12" s="302"/>
      <c r="K12" s="302"/>
      <c r="L12" s="302"/>
      <c r="M12" s="302"/>
      <c r="N12" s="302"/>
      <c r="O12" s="302"/>
      <c r="P12" s="302"/>
      <c r="Q12" s="302"/>
      <c r="R12" s="302"/>
      <c r="S12" s="302"/>
      <c r="T12" s="302"/>
      <c r="U12" s="302"/>
      <c r="V12" s="302"/>
      <c r="W12" s="302"/>
      <c r="X12" s="302"/>
      <c r="Y12" s="302"/>
    </row>
    <row r="13" spans="1:27" s="14" customFormat="1" ht="18.75" customHeight="1" x14ac:dyDescent="0.2">
      <c r="E13" s="308" t="s">
        <v>5</v>
      </c>
      <c r="F13" s="308"/>
      <c r="G13" s="308"/>
      <c r="H13" s="308"/>
      <c r="I13" s="308"/>
      <c r="J13" s="308"/>
      <c r="K13" s="308"/>
      <c r="L13" s="308"/>
      <c r="M13" s="308"/>
      <c r="N13" s="308"/>
      <c r="O13" s="308"/>
      <c r="P13" s="308"/>
      <c r="Q13" s="308"/>
      <c r="R13" s="308"/>
      <c r="S13" s="308"/>
      <c r="T13" s="308"/>
      <c r="U13" s="308"/>
      <c r="V13" s="308"/>
      <c r="W13" s="308"/>
      <c r="X13" s="308"/>
      <c r="Y13" s="308"/>
    </row>
    <row r="14" spans="1:27" s="14" customFormat="1" ht="15.75" customHeight="1" x14ac:dyDescent="0.2">
      <c r="E14" s="111"/>
      <c r="F14" s="111"/>
      <c r="G14" s="111"/>
      <c r="H14" s="111"/>
      <c r="I14" s="111"/>
      <c r="J14" s="111"/>
      <c r="K14" s="111"/>
      <c r="L14" s="111"/>
      <c r="M14" s="111"/>
      <c r="N14" s="111"/>
      <c r="O14" s="111"/>
      <c r="P14" s="111"/>
      <c r="Q14" s="111"/>
      <c r="R14" s="111"/>
      <c r="S14" s="111"/>
      <c r="T14" s="111"/>
      <c r="U14" s="111"/>
      <c r="V14" s="111"/>
      <c r="W14" s="111"/>
    </row>
    <row r="15" spans="1:27" s="109" customFormat="1" x14ac:dyDescent="0.2">
      <c r="E15" s="310" t="str">
        <f>'1. паспорт местоположение'!A15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F15" s="310"/>
      <c r="G15" s="310"/>
      <c r="H15" s="310"/>
      <c r="I15" s="310"/>
      <c r="J15" s="310"/>
      <c r="K15" s="310"/>
      <c r="L15" s="310"/>
      <c r="M15" s="310"/>
      <c r="N15" s="310"/>
      <c r="O15" s="310"/>
      <c r="P15" s="310"/>
      <c r="Q15" s="310"/>
      <c r="R15" s="310"/>
      <c r="S15" s="310"/>
      <c r="T15" s="310"/>
      <c r="U15" s="310"/>
      <c r="V15" s="310"/>
      <c r="W15" s="310"/>
      <c r="X15" s="310"/>
      <c r="Y15" s="310"/>
    </row>
    <row r="16" spans="1:27" s="109" customFormat="1" ht="15" customHeight="1" x14ac:dyDescent="0.2">
      <c r="E16" s="308" t="s">
        <v>4</v>
      </c>
      <c r="F16" s="308"/>
      <c r="G16" s="308"/>
      <c r="H16" s="308"/>
      <c r="I16" s="308"/>
      <c r="J16" s="308"/>
      <c r="K16" s="308"/>
      <c r="L16" s="308"/>
      <c r="M16" s="308"/>
      <c r="N16" s="308"/>
      <c r="O16" s="308"/>
      <c r="P16" s="308"/>
      <c r="Q16" s="308"/>
      <c r="R16" s="308"/>
      <c r="S16" s="308"/>
      <c r="T16" s="308"/>
      <c r="U16" s="308"/>
      <c r="V16" s="308"/>
      <c r="W16" s="308"/>
      <c r="X16" s="308"/>
      <c r="Y16" s="308"/>
    </row>
    <row r="17" spans="1:27" s="109" customFormat="1" ht="15" customHeight="1" x14ac:dyDescent="0.2">
      <c r="E17" s="111"/>
      <c r="F17" s="111"/>
      <c r="G17" s="111"/>
      <c r="H17" s="111"/>
      <c r="I17" s="111"/>
      <c r="J17" s="111"/>
      <c r="K17" s="111"/>
      <c r="L17" s="111"/>
      <c r="M17" s="111"/>
      <c r="N17" s="111"/>
      <c r="O17" s="111"/>
      <c r="P17" s="111"/>
      <c r="Q17" s="111"/>
      <c r="R17" s="111"/>
      <c r="S17" s="111"/>
      <c r="T17" s="111"/>
      <c r="U17" s="111"/>
      <c r="V17" s="111"/>
      <c r="W17" s="111"/>
    </row>
    <row r="18" spans="1:27" s="109" customFormat="1" ht="15" customHeight="1" x14ac:dyDescent="0.2">
      <c r="E18" s="327"/>
      <c r="F18" s="327"/>
      <c r="G18" s="327"/>
      <c r="H18" s="327"/>
      <c r="I18" s="327"/>
      <c r="J18" s="327"/>
      <c r="K18" s="327"/>
      <c r="L18" s="327"/>
      <c r="M18" s="327"/>
      <c r="N18" s="327"/>
      <c r="O18" s="327"/>
      <c r="P18" s="327"/>
      <c r="Q18" s="327"/>
      <c r="R18" s="327"/>
      <c r="S18" s="327"/>
      <c r="T18" s="327"/>
      <c r="U18" s="327"/>
      <c r="V18" s="327"/>
      <c r="W18" s="327"/>
      <c r="X18" s="327"/>
      <c r="Y18" s="327"/>
    </row>
    <row r="19" spans="1:27" ht="25.5" customHeight="1" x14ac:dyDescent="0.25">
      <c r="A19" s="327" t="s">
        <v>388</v>
      </c>
      <c r="B19" s="327"/>
      <c r="C19" s="327"/>
      <c r="D19" s="327"/>
      <c r="E19" s="327"/>
      <c r="F19" s="327"/>
      <c r="G19" s="327"/>
      <c r="H19" s="327"/>
      <c r="I19" s="327"/>
      <c r="J19" s="327"/>
      <c r="K19" s="327"/>
      <c r="L19" s="327"/>
      <c r="M19" s="327"/>
      <c r="N19" s="327"/>
      <c r="O19" s="327"/>
      <c r="P19" s="327"/>
      <c r="Q19" s="327"/>
      <c r="R19" s="327"/>
      <c r="S19" s="327"/>
      <c r="T19" s="327"/>
      <c r="U19" s="327"/>
      <c r="V19" s="327"/>
      <c r="W19" s="327"/>
      <c r="X19" s="327"/>
      <c r="Y19" s="327"/>
      <c r="Z19" s="327"/>
      <c r="AA19" s="327"/>
    </row>
    <row r="20" spans="1:27" s="27" customFormat="1" ht="21" customHeight="1" x14ac:dyDescent="0.25"/>
    <row r="21" spans="1:27" ht="15.75" customHeight="1" x14ac:dyDescent="0.25">
      <c r="A21" s="318" t="s">
        <v>3</v>
      </c>
      <c r="B21" s="314" t="s">
        <v>395</v>
      </c>
      <c r="C21" s="315"/>
      <c r="D21" s="314" t="s">
        <v>397</v>
      </c>
      <c r="E21" s="315"/>
      <c r="F21" s="324" t="s">
        <v>88</v>
      </c>
      <c r="G21" s="326"/>
      <c r="H21" s="326"/>
      <c r="I21" s="325"/>
      <c r="J21" s="318" t="s">
        <v>398</v>
      </c>
      <c r="K21" s="314" t="s">
        <v>399</v>
      </c>
      <c r="L21" s="315"/>
      <c r="M21" s="314" t="s">
        <v>400</v>
      </c>
      <c r="N21" s="315"/>
      <c r="O21" s="314" t="s">
        <v>387</v>
      </c>
      <c r="P21" s="315"/>
      <c r="Q21" s="314" t="s">
        <v>121</v>
      </c>
      <c r="R21" s="315"/>
      <c r="S21" s="318" t="s">
        <v>120</v>
      </c>
      <c r="T21" s="318" t="s">
        <v>401</v>
      </c>
      <c r="U21" s="318" t="s">
        <v>396</v>
      </c>
      <c r="V21" s="314" t="s">
        <v>119</v>
      </c>
      <c r="W21" s="315"/>
      <c r="X21" s="324" t="s">
        <v>111</v>
      </c>
      <c r="Y21" s="326"/>
      <c r="Z21" s="324" t="s">
        <v>110</v>
      </c>
      <c r="AA21" s="326"/>
    </row>
    <row r="22" spans="1:27" ht="216" customHeight="1" x14ac:dyDescent="0.25">
      <c r="A22" s="320"/>
      <c r="B22" s="316"/>
      <c r="C22" s="317"/>
      <c r="D22" s="316"/>
      <c r="E22" s="317"/>
      <c r="F22" s="324" t="s">
        <v>118</v>
      </c>
      <c r="G22" s="325"/>
      <c r="H22" s="324" t="s">
        <v>117</v>
      </c>
      <c r="I22" s="325"/>
      <c r="J22" s="319"/>
      <c r="K22" s="316"/>
      <c r="L22" s="317"/>
      <c r="M22" s="316"/>
      <c r="N22" s="317"/>
      <c r="O22" s="316"/>
      <c r="P22" s="317"/>
      <c r="Q22" s="316"/>
      <c r="R22" s="317"/>
      <c r="S22" s="319"/>
      <c r="T22" s="319"/>
      <c r="U22" s="319"/>
      <c r="V22" s="316"/>
      <c r="W22" s="317"/>
      <c r="X22" s="54" t="s">
        <v>109</v>
      </c>
      <c r="Y22" s="54" t="s">
        <v>385</v>
      </c>
      <c r="Z22" s="54" t="s">
        <v>108</v>
      </c>
      <c r="AA22" s="54" t="s">
        <v>107</v>
      </c>
    </row>
    <row r="23" spans="1:27" ht="60" customHeight="1" x14ac:dyDescent="0.25">
      <c r="A23" s="319"/>
      <c r="B23" s="106" t="s">
        <v>105</v>
      </c>
      <c r="C23" s="106" t="s">
        <v>106</v>
      </c>
      <c r="D23" s="106" t="s">
        <v>105</v>
      </c>
      <c r="E23" s="106" t="s">
        <v>106</v>
      </c>
      <c r="F23" s="106" t="s">
        <v>105</v>
      </c>
      <c r="G23" s="106" t="s">
        <v>106</v>
      </c>
      <c r="H23" s="106" t="s">
        <v>105</v>
      </c>
      <c r="I23" s="106" t="s">
        <v>106</v>
      </c>
      <c r="J23" s="106" t="s">
        <v>105</v>
      </c>
      <c r="K23" s="106" t="s">
        <v>105</v>
      </c>
      <c r="L23" s="106" t="s">
        <v>106</v>
      </c>
      <c r="M23" s="106" t="s">
        <v>105</v>
      </c>
      <c r="N23" s="106" t="s">
        <v>106</v>
      </c>
      <c r="O23" s="106" t="s">
        <v>105</v>
      </c>
      <c r="P23" s="106" t="s">
        <v>106</v>
      </c>
      <c r="Q23" s="106" t="s">
        <v>105</v>
      </c>
      <c r="R23" s="106" t="s">
        <v>106</v>
      </c>
      <c r="S23" s="106" t="s">
        <v>105</v>
      </c>
      <c r="T23" s="106" t="s">
        <v>105</v>
      </c>
      <c r="U23" s="106" t="s">
        <v>105</v>
      </c>
      <c r="V23" s="106" t="s">
        <v>105</v>
      </c>
      <c r="W23" s="106" t="s">
        <v>106</v>
      </c>
      <c r="X23" s="106" t="s">
        <v>105</v>
      </c>
      <c r="Y23" s="106"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t="s">
        <v>537</v>
      </c>
      <c r="B25" s="95" t="s">
        <v>537</v>
      </c>
      <c r="C25" s="95" t="s">
        <v>537</v>
      </c>
      <c r="D25" s="95" t="s">
        <v>537</v>
      </c>
      <c r="E25" s="95" t="s">
        <v>537</v>
      </c>
      <c r="F25" s="95" t="s">
        <v>537</v>
      </c>
      <c r="G25" s="95" t="s">
        <v>537</v>
      </c>
      <c r="H25" s="95" t="s">
        <v>537</v>
      </c>
      <c r="I25" s="95" t="s">
        <v>537</v>
      </c>
      <c r="J25" s="95" t="s">
        <v>537</v>
      </c>
      <c r="K25" s="95" t="s">
        <v>537</v>
      </c>
      <c r="L25" s="95" t="s">
        <v>537</v>
      </c>
      <c r="M25" s="95" t="s">
        <v>537</v>
      </c>
      <c r="N25" s="95" t="s">
        <v>537</v>
      </c>
      <c r="O25" s="95" t="s">
        <v>537</v>
      </c>
      <c r="P25" s="95" t="s">
        <v>537</v>
      </c>
      <c r="Q25" s="95" t="s">
        <v>537</v>
      </c>
      <c r="R25" s="95" t="s">
        <v>537</v>
      </c>
      <c r="S25" s="95" t="s">
        <v>537</v>
      </c>
      <c r="T25" s="95" t="s">
        <v>537</v>
      </c>
      <c r="U25" s="95" t="s">
        <v>537</v>
      </c>
      <c r="V25" s="95" t="s">
        <v>537</v>
      </c>
      <c r="W25" s="95" t="s">
        <v>537</v>
      </c>
      <c r="X25" s="95" t="s">
        <v>537</v>
      </c>
      <c r="Y25" s="95" t="s">
        <v>537</v>
      </c>
      <c r="Z25" s="95" t="s">
        <v>537</v>
      </c>
      <c r="AA25" s="95" t="s">
        <v>537</v>
      </c>
    </row>
    <row r="26" spans="1:27" ht="30" customHeight="1" x14ac:dyDescent="0.25">
      <c r="X26" s="55"/>
      <c r="Y26" s="56"/>
    </row>
    <row r="27" spans="1:27" s="30" customFormat="1" ht="12.75" x14ac:dyDescent="0.2"/>
    <row r="28"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A15" sqref="A15:C15"/>
    </sheetView>
  </sheetViews>
  <sheetFormatPr defaultColWidth="9.140625" defaultRowHeight="15" x14ac:dyDescent="0.25"/>
  <cols>
    <col min="1" max="1" width="6.140625" style="120" customWidth="1"/>
    <col min="2" max="2" width="53.5703125" style="120" customWidth="1"/>
    <col min="3" max="3" width="98.28515625" style="120" customWidth="1"/>
    <col min="4" max="4" width="14.42578125" style="120" customWidth="1"/>
    <col min="5" max="5" width="36.5703125" style="120" customWidth="1"/>
    <col min="6" max="6" width="20" style="120" customWidth="1"/>
    <col min="7" max="7" width="25.5703125" style="120" customWidth="1"/>
    <col min="8" max="8" width="16.42578125" style="120" customWidth="1"/>
    <col min="9" max="16384" width="9.140625" style="120"/>
  </cols>
  <sheetData>
    <row r="1" spans="1:29" s="14" customFormat="1" ht="18.75" customHeight="1" x14ac:dyDescent="0.2">
      <c r="C1" s="21" t="s">
        <v>66</v>
      </c>
    </row>
    <row r="2" spans="1:29" s="14" customFormat="1" ht="18.75" customHeight="1" x14ac:dyDescent="0.3">
      <c r="C2" s="12" t="s">
        <v>8</v>
      </c>
    </row>
    <row r="3" spans="1:29" s="14" customFormat="1" ht="18.75" x14ac:dyDescent="0.3">
      <c r="A3" s="108"/>
      <c r="C3" s="12" t="s">
        <v>65</v>
      </c>
    </row>
    <row r="4" spans="1:29" s="14" customFormat="1" ht="18.75" x14ac:dyDescent="0.3">
      <c r="A4" s="108"/>
      <c r="C4" s="12"/>
    </row>
    <row r="5" spans="1:29" s="14" customFormat="1" ht="15.75" x14ac:dyDescent="0.2">
      <c r="A5" s="295" t="str">
        <f>'1. паспорт местоположение'!A5:C5</f>
        <v>Год раскрытия информации: 2024 год</v>
      </c>
      <c r="B5" s="295"/>
      <c r="C5" s="295"/>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8"/>
      <c r="G6" s="12"/>
    </row>
    <row r="7" spans="1:29" s="14" customFormat="1" ht="18.75" x14ac:dyDescent="0.2">
      <c r="A7" s="304" t="s">
        <v>7</v>
      </c>
      <c r="B7" s="304"/>
      <c r="C7" s="304"/>
      <c r="D7" s="110"/>
      <c r="E7" s="110"/>
      <c r="F7" s="110"/>
      <c r="G7" s="110"/>
      <c r="H7" s="110"/>
      <c r="I7" s="110"/>
      <c r="J7" s="110"/>
      <c r="K7" s="110"/>
      <c r="L7" s="110"/>
      <c r="M7" s="110"/>
      <c r="N7" s="110"/>
      <c r="O7" s="110"/>
      <c r="P7" s="110"/>
      <c r="Q7" s="110"/>
      <c r="R7" s="110"/>
      <c r="S7" s="110"/>
      <c r="T7" s="110"/>
      <c r="U7" s="110"/>
    </row>
    <row r="8" spans="1:29" s="14" customFormat="1" ht="18.75" x14ac:dyDescent="0.2">
      <c r="A8" s="304"/>
      <c r="B8" s="304"/>
      <c r="C8" s="304"/>
      <c r="D8" s="121"/>
      <c r="E8" s="121"/>
      <c r="F8" s="121"/>
      <c r="G8" s="121"/>
      <c r="H8" s="110"/>
      <c r="I8" s="110"/>
      <c r="J8" s="110"/>
      <c r="K8" s="110"/>
      <c r="L8" s="110"/>
      <c r="M8" s="110"/>
      <c r="N8" s="110"/>
      <c r="O8" s="110"/>
      <c r="P8" s="110"/>
      <c r="Q8" s="110"/>
      <c r="R8" s="110"/>
      <c r="S8" s="110"/>
      <c r="T8" s="110"/>
      <c r="U8" s="110"/>
    </row>
    <row r="9" spans="1:29" s="14" customFormat="1" ht="18.75" x14ac:dyDescent="0.2">
      <c r="A9" s="302" t="str">
        <f>'1. паспорт местоположение'!A9:C9</f>
        <v xml:space="preserve">Акционерное общество "Западная энергетическая компания" </v>
      </c>
      <c r="B9" s="302"/>
      <c r="C9" s="302"/>
      <c r="D9" s="112"/>
      <c r="E9" s="112"/>
      <c r="F9" s="112"/>
      <c r="G9" s="112"/>
      <c r="H9" s="110"/>
      <c r="I9" s="110"/>
      <c r="J9" s="110"/>
      <c r="K9" s="110"/>
      <c r="L9" s="110"/>
      <c r="M9" s="110"/>
      <c r="N9" s="110"/>
      <c r="O9" s="110"/>
      <c r="P9" s="110"/>
      <c r="Q9" s="110"/>
      <c r="R9" s="110"/>
      <c r="S9" s="110"/>
      <c r="T9" s="110"/>
      <c r="U9" s="110"/>
    </row>
    <row r="10" spans="1:29" s="14" customFormat="1" ht="18.75" x14ac:dyDescent="0.2">
      <c r="A10" s="308" t="s">
        <v>6</v>
      </c>
      <c r="B10" s="308"/>
      <c r="C10" s="308"/>
      <c r="D10" s="113"/>
      <c r="E10" s="113"/>
      <c r="F10" s="113"/>
      <c r="G10" s="113"/>
      <c r="H10" s="110"/>
      <c r="I10" s="110"/>
      <c r="J10" s="110"/>
      <c r="K10" s="110"/>
      <c r="L10" s="110"/>
      <c r="M10" s="110"/>
      <c r="N10" s="110"/>
      <c r="O10" s="110"/>
      <c r="P10" s="110"/>
      <c r="Q10" s="110"/>
      <c r="R10" s="110"/>
      <c r="S10" s="110"/>
      <c r="T10" s="110"/>
      <c r="U10" s="110"/>
    </row>
    <row r="11" spans="1:29" s="14" customFormat="1" ht="18.75" x14ac:dyDescent="0.2">
      <c r="A11" s="304"/>
      <c r="B11" s="304"/>
      <c r="C11" s="304"/>
      <c r="D11" s="121"/>
      <c r="E11" s="121"/>
      <c r="F11" s="121"/>
      <c r="G11" s="121"/>
      <c r="H11" s="110"/>
      <c r="I11" s="110"/>
      <c r="J11" s="110"/>
      <c r="K11" s="110"/>
      <c r="L11" s="110"/>
      <c r="M11" s="110"/>
      <c r="N11" s="110"/>
      <c r="O11" s="110"/>
      <c r="P11" s="110"/>
      <c r="Q11" s="110"/>
      <c r="R11" s="110"/>
      <c r="S11" s="110"/>
      <c r="T11" s="110"/>
      <c r="U11" s="110"/>
    </row>
    <row r="12" spans="1:29" s="14" customFormat="1" ht="18.75" x14ac:dyDescent="0.2">
      <c r="A12" s="302" t="str">
        <f>'1. паспорт местоположение'!A12:C12</f>
        <v>J_19-05</v>
      </c>
      <c r="B12" s="302"/>
      <c r="C12" s="302"/>
      <c r="D12" s="112"/>
      <c r="E12" s="112"/>
      <c r="F12" s="112"/>
      <c r="G12" s="112"/>
      <c r="H12" s="110"/>
      <c r="I12" s="110"/>
      <c r="J12" s="110"/>
      <c r="K12" s="110"/>
      <c r="L12" s="110"/>
      <c r="M12" s="110"/>
      <c r="N12" s="110"/>
      <c r="O12" s="110"/>
      <c r="P12" s="110"/>
      <c r="Q12" s="110"/>
      <c r="R12" s="110"/>
      <c r="S12" s="110"/>
      <c r="T12" s="110"/>
      <c r="U12" s="110"/>
    </row>
    <row r="13" spans="1:29" s="14" customFormat="1" ht="18.75" x14ac:dyDescent="0.2">
      <c r="A13" s="308" t="s">
        <v>5</v>
      </c>
      <c r="B13" s="308"/>
      <c r="C13" s="308"/>
      <c r="D13" s="113"/>
      <c r="E13" s="113"/>
      <c r="F13" s="113"/>
      <c r="G13" s="113"/>
      <c r="H13" s="110"/>
      <c r="I13" s="110"/>
      <c r="J13" s="110"/>
      <c r="K13" s="110"/>
      <c r="L13" s="110"/>
      <c r="M13" s="110"/>
      <c r="N13" s="110"/>
      <c r="O13" s="110"/>
      <c r="P13" s="110"/>
      <c r="Q13" s="110"/>
      <c r="R13" s="110"/>
      <c r="S13" s="110"/>
      <c r="T13" s="110"/>
      <c r="U13" s="110"/>
    </row>
    <row r="14" spans="1:29" s="14" customFormat="1" ht="15.75" customHeight="1" x14ac:dyDescent="0.2">
      <c r="A14" s="309"/>
      <c r="B14" s="309"/>
      <c r="C14" s="309"/>
      <c r="D14" s="111"/>
      <c r="E14" s="111"/>
      <c r="F14" s="111"/>
      <c r="G14" s="111"/>
      <c r="H14" s="111"/>
      <c r="I14" s="111"/>
      <c r="J14" s="111"/>
      <c r="K14" s="111"/>
      <c r="L14" s="111"/>
      <c r="M14" s="111"/>
      <c r="N14" s="111"/>
      <c r="O14" s="111"/>
      <c r="P14" s="111"/>
      <c r="Q14" s="111"/>
      <c r="R14" s="111"/>
      <c r="S14" s="111"/>
      <c r="T14" s="111"/>
      <c r="U14" s="111"/>
    </row>
    <row r="15" spans="1:29" s="109" customFormat="1" ht="45.75" customHeight="1" x14ac:dyDescent="0.2">
      <c r="A15" s="329"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5" s="329"/>
      <c r="C15" s="329"/>
      <c r="D15" s="112"/>
      <c r="E15" s="112"/>
      <c r="F15" s="112"/>
      <c r="G15" s="112"/>
      <c r="H15" s="112"/>
      <c r="I15" s="112"/>
      <c r="J15" s="112"/>
      <c r="K15" s="112"/>
      <c r="L15" s="112"/>
      <c r="M15" s="112"/>
      <c r="N15" s="112"/>
      <c r="O15" s="112"/>
      <c r="P15" s="112"/>
      <c r="Q15" s="112"/>
      <c r="R15" s="112"/>
      <c r="S15" s="112"/>
      <c r="T15" s="112"/>
      <c r="U15" s="112"/>
    </row>
    <row r="16" spans="1:29" s="109" customFormat="1" ht="15" customHeight="1" x14ac:dyDescent="0.2">
      <c r="A16" s="308" t="s">
        <v>4</v>
      </c>
      <c r="B16" s="308"/>
      <c r="C16" s="308"/>
      <c r="D16" s="113"/>
      <c r="E16" s="113"/>
      <c r="F16" s="113"/>
      <c r="G16" s="113"/>
      <c r="H16" s="113"/>
      <c r="I16" s="113"/>
      <c r="J16" s="113"/>
      <c r="K16" s="113"/>
      <c r="L16" s="113"/>
      <c r="M16" s="113"/>
      <c r="N16" s="113"/>
      <c r="O16" s="113"/>
      <c r="P16" s="113"/>
      <c r="Q16" s="113"/>
      <c r="R16" s="113"/>
      <c r="S16" s="113"/>
      <c r="T16" s="113"/>
      <c r="U16" s="113"/>
    </row>
    <row r="17" spans="1:21" s="109" customFormat="1" ht="15" customHeight="1" x14ac:dyDescent="0.2">
      <c r="A17" s="309"/>
      <c r="B17" s="309"/>
      <c r="C17" s="309"/>
      <c r="D17" s="111"/>
      <c r="E17" s="111"/>
      <c r="F17" s="111"/>
      <c r="G17" s="111"/>
      <c r="H17" s="111"/>
      <c r="I17" s="111"/>
      <c r="J17" s="111"/>
      <c r="K17" s="111"/>
      <c r="L17" s="111"/>
      <c r="M17" s="111"/>
      <c r="N17" s="111"/>
      <c r="O17" s="111"/>
      <c r="P17" s="111"/>
      <c r="Q17" s="111"/>
      <c r="R17" s="111"/>
    </row>
    <row r="18" spans="1:21" s="109" customFormat="1" ht="27.75" customHeight="1" x14ac:dyDescent="0.2">
      <c r="A18" s="311" t="s">
        <v>380</v>
      </c>
      <c r="B18" s="311"/>
      <c r="C18" s="311"/>
      <c r="D18" s="114"/>
      <c r="E18" s="114"/>
      <c r="F18" s="114"/>
      <c r="G18" s="114"/>
      <c r="H18" s="114"/>
      <c r="I18" s="114"/>
      <c r="J18" s="114"/>
      <c r="K18" s="114"/>
      <c r="L18" s="114"/>
      <c r="M18" s="114"/>
      <c r="N18" s="114"/>
      <c r="O18" s="114"/>
      <c r="P18" s="114"/>
      <c r="Q18" s="114"/>
      <c r="R18" s="114"/>
      <c r="S18" s="114"/>
      <c r="T18" s="114"/>
      <c r="U18" s="114"/>
    </row>
    <row r="19" spans="1:21" s="109" customFormat="1" ht="15" customHeight="1" x14ac:dyDescent="0.2">
      <c r="A19" s="113"/>
      <c r="B19" s="113"/>
      <c r="C19" s="113"/>
      <c r="D19" s="113"/>
      <c r="E19" s="113"/>
      <c r="F19" s="113"/>
      <c r="G19" s="113"/>
      <c r="H19" s="111"/>
      <c r="I19" s="111"/>
      <c r="J19" s="111"/>
      <c r="K19" s="111"/>
      <c r="L19" s="111"/>
      <c r="M19" s="111"/>
      <c r="N19" s="111"/>
      <c r="O19" s="111"/>
      <c r="P19" s="111"/>
      <c r="Q19" s="111"/>
      <c r="R19" s="111"/>
    </row>
    <row r="20" spans="1:21" s="109" customFormat="1" ht="39.75" customHeight="1" x14ac:dyDescent="0.2">
      <c r="A20" s="122" t="s">
        <v>3</v>
      </c>
      <c r="B20" s="118" t="s">
        <v>64</v>
      </c>
      <c r="C20" s="119" t="s">
        <v>63</v>
      </c>
      <c r="D20" s="113"/>
      <c r="E20" s="113"/>
      <c r="F20" s="113"/>
      <c r="G20" s="113"/>
      <c r="H20" s="111"/>
      <c r="I20" s="111"/>
      <c r="J20" s="111"/>
      <c r="K20" s="111"/>
      <c r="L20" s="111"/>
      <c r="M20" s="111"/>
      <c r="N20" s="111"/>
      <c r="O20" s="111"/>
      <c r="P20" s="111"/>
      <c r="Q20" s="111"/>
      <c r="R20" s="111"/>
    </row>
    <row r="21" spans="1:21" s="109" customFormat="1" ht="16.5" customHeight="1" x14ac:dyDescent="0.2">
      <c r="A21" s="119">
        <v>1</v>
      </c>
      <c r="B21" s="118">
        <v>2</v>
      </c>
      <c r="C21" s="119">
        <v>3</v>
      </c>
      <c r="D21" s="113"/>
      <c r="E21" s="113"/>
      <c r="F21" s="113"/>
      <c r="G21" s="113"/>
      <c r="H21" s="111"/>
      <c r="I21" s="111"/>
      <c r="J21" s="111"/>
      <c r="K21" s="111"/>
      <c r="L21" s="111"/>
      <c r="M21" s="111"/>
      <c r="N21" s="111"/>
      <c r="O21" s="111"/>
      <c r="P21" s="111"/>
      <c r="Q21" s="111"/>
      <c r="R21" s="111"/>
    </row>
    <row r="22" spans="1:21" s="109" customFormat="1" ht="41.25" customHeight="1" x14ac:dyDescent="0.2">
      <c r="A22" s="123" t="s">
        <v>62</v>
      </c>
      <c r="B22" s="17" t="s">
        <v>393</v>
      </c>
      <c r="C22" s="125" t="s">
        <v>574</v>
      </c>
      <c r="D22" s="113"/>
      <c r="E22" s="113"/>
      <c r="F22" s="111"/>
      <c r="G22" s="111"/>
      <c r="H22" s="111"/>
      <c r="I22" s="111"/>
      <c r="J22" s="111"/>
      <c r="K22" s="111"/>
      <c r="L22" s="111"/>
      <c r="M22" s="111"/>
      <c r="N22" s="111"/>
      <c r="O22" s="111"/>
      <c r="P22" s="111"/>
    </row>
    <row r="23" spans="1:21" ht="63" customHeight="1" x14ac:dyDescent="0.25">
      <c r="A23" s="123" t="s">
        <v>61</v>
      </c>
      <c r="B23" s="124" t="s">
        <v>58</v>
      </c>
      <c r="C23" s="125" t="s">
        <v>575</v>
      </c>
    </row>
    <row r="24" spans="1:21" ht="63" customHeight="1" x14ac:dyDescent="0.25">
      <c r="A24" s="123" t="s">
        <v>60</v>
      </c>
      <c r="B24" s="124" t="s">
        <v>412</v>
      </c>
      <c r="C24" s="125" t="s">
        <v>590</v>
      </c>
    </row>
    <row r="25" spans="1:21" ht="63" customHeight="1" x14ac:dyDescent="0.25">
      <c r="A25" s="123" t="s">
        <v>59</v>
      </c>
      <c r="B25" s="124" t="s">
        <v>413</v>
      </c>
      <c r="C25" s="125"/>
    </row>
    <row r="26" spans="1:21" ht="42.75" customHeight="1" x14ac:dyDescent="0.25">
      <c r="A26" s="123" t="s">
        <v>57</v>
      </c>
      <c r="B26" s="124" t="s">
        <v>208</v>
      </c>
      <c r="C26" s="122" t="s">
        <v>435</v>
      </c>
    </row>
    <row r="27" spans="1:21" ht="31.5" x14ac:dyDescent="0.25">
      <c r="A27" s="123" t="s">
        <v>56</v>
      </c>
      <c r="B27" s="124" t="s">
        <v>394</v>
      </c>
      <c r="C27" s="122" t="s">
        <v>579</v>
      </c>
    </row>
    <row r="28" spans="1:21" ht="42.75" customHeight="1" x14ac:dyDescent="0.25">
      <c r="A28" s="123" t="s">
        <v>54</v>
      </c>
      <c r="B28" s="124" t="s">
        <v>55</v>
      </c>
      <c r="C28" s="125">
        <v>2022</v>
      </c>
    </row>
    <row r="29" spans="1:21" ht="42.75" customHeight="1" x14ac:dyDescent="0.25">
      <c r="A29" s="123" t="s">
        <v>52</v>
      </c>
      <c r="B29" s="122" t="s">
        <v>53</v>
      </c>
      <c r="C29" s="125">
        <v>2024</v>
      </c>
    </row>
    <row r="30" spans="1:21" ht="42.75" customHeight="1" x14ac:dyDescent="0.25">
      <c r="A30" s="123" t="s">
        <v>70</v>
      </c>
      <c r="B30" s="122" t="s">
        <v>51</v>
      </c>
      <c r="C30" s="122" t="s">
        <v>556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0" zoomScale="90" zoomScaleNormal="80" zoomScaleSheetLayoutView="90" workbookViewId="0">
      <selection activeCell="A14" sqref="A14:Z14"/>
    </sheetView>
  </sheetViews>
  <sheetFormatPr defaultColWidth="9.140625" defaultRowHeight="15" x14ac:dyDescent="0.25"/>
  <cols>
    <col min="1" max="1" width="17.7109375" style="126" customWidth="1"/>
    <col min="2" max="2" width="30.140625" style="126" customWidth="1"/>
    <col min="3" max="3" width="12.28515625" style="126" customWidth="1"/>
    <col min="4" max="5" width="15" style="126" customWidth="1"/>
    <col min="6" max="7" width="13.28515625" style="126" customWidth="1"/>
    <col min="8" max="8" width="12.28515625" style="126" customWidth="1"/>
    <col min="9" max="9" width="17.85546875" style="126" customWidth="1"/>
    <col min="10" max="10" width="16.7109375" style="126" customWidth="1"/>
    <col min="11" max="11" width="24.5703125" style="126" customWidth="1"/>
    <col min="12" max="12" width="30.85546875" style="126" customWidth="1"/>
    <col min="13" max="13" width="27.140625" style="126" customWidth="1"/>
    <col min="14" max="14" width="32.42578125" style="126" customWidth="1"/>
    <col min="15" max="15" width="13.28515625" style="126" customWidth="1"/>
    <col min="16" max="16" width="8.7109375" style="126" customWidth="1"/>
    <col min="17" max="17" width="12.7109375" style="126" customWidth="1"/>
    <col min="18" max="18" width="9.140625" style="126"/>
    <col min="19" max="19" width="17" style="126" customWidth="1"/>
    <col min="20" max="21" width="12" style="126" customWidth="1"/>
    <col min="22" max="22" width="11" style="126" customWidth="1"/>
    <col min="23" max="25" width="17.7109375" style="126" customWidth="1"/>
    <col min="26" max="26" width="46.5703125" style="126" customWidth="1"/>
    <col min="27" max="28" width="12.28515625" style="126" customWidth="1"/>
    <col min="29" max="16384" width="9.140625" style="126"/>
  </cols>
  <sheetData>
    <row r="1" spans="1:28" ht="18.75" x14ac:dyDescent="0.25">
      <c r="Z1" s="21" t="s">
        <v>66</v>
      </c>
    </row>
    <row r="2" spans="1:28" ht="18.75" x14ac:dyDescent="0.3">
      <c r="Z2" s="12" t="s">
        <v>8</v>
      </c>
    </row>
    <row r="3" spans="1:28" ht="18.75" x14ac:dyDescent="0.3">
      <c r="Z3" s="12" t="s">
        <v>65</v>
      </c>
    </row>
    <row r="4" spans="1:28" ht="18.75" customHeight="1" x14ac:dyDescent="0.25">
      <c r="A4" s="295" t="str">
        <f>'1. паспорт местоположение'!A5:C5</f>
        <v>Год раскрытия информации: 2024 год</v>
      </c>
      <c r="B4" s="295"/>
      <c r="C4" s="295"/>
      <c r="D4" s="295"/>
      <c r="E4" s="295"/>
      <c r="F4" s="295"/>
      <c r="G4" s="295"/>
      <c r="H4" s="295"/>
      <c r="I4" s="295"/>
      <c r="J4" s="295"/>
      <c r="K4" s="295"/>
      <c r="L4" s="295"/>
      <c r="M4" s="295"/>
      <c r="N4" s="295"/>
      <c r="O4" s="295"/>
      <c r="P4" s="295"/>
      <c r="Q4" s="295"/>
      <c r="R4" s="295"/>
      <c r="S4" s="295"/>
      <c r="T4" s="295"/>
      <c r="U4" s="295"/>
      <c r="V4" s="295"/>
      <c r="W4" s="295"/>
      <c r="X4" s="295"/>
      <c r="Y4" s="295"/>
      <c r="Z4" s="295"/>
    </row>
    <row r="6" spans="1:28" ht="18.75" x14ac:dyDescent="0.25">
      <c r="A6" s="304" t="s">
        <v>7</v>
      </c>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110"/>
      <c r="AB6" s="110"/>
    </row>
    <row r="7" spans="1:28" ht="18.75" x14ac:dyDescent="0.25">
      <c r="A7" s="304"/>
      <c r="B7" s="304"/>
      <c r="C7" s="304"/>
      <c r="D7" s="304"/>
      <c r="E7" s="304"/>
      <c r="F7" s="304"/>
      <c r="G7" s="304"/>
      <c r="H7" s="304"/>
      <c r="I7" s="304"/>
      <c r="J7" s="304"/>
      <c r="K7" s="304"/>
      <c r="L7" s="304"/>
      <c r="M7" s="304"/>
      <c r="N7" s="304"/>
      <c r="O7" s="304"/>
      <c r="P7" s="304"/>
      <c r="Q7" s="304"/>
      <c r="R7" s="304"/>
      <c r="S7" s="304"/>
      <c r="T7" s="304"/>
      <c r="U7" s="304"/>
      <c r="V7" s="304"/>
      <c r="W7" s="304"/>
      <c r="X7" s="304"/>
      <c r="Y7" s="304"/>
      <c r="Z7" s="304"/>
      <c r="AA7" s="110"/>
      <c r="AB7" s="110"/>
    </row>
    <row r="8" spans="1:28" ht="15.75" x14ac:dyDescent="0.25">
      <c r="A8" s="302" t="str">
        <f>'1. паспорт местоположение'!A9:C9</f>
        <v xml:space="preserve">Акционерное общество "Западная энергетическая компания" </v>
      </c>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112"/>
      <c r="AB8" s="112"/>
    </row>
    <row r="9" spans="1:28" ht="15.75" x14ac:dyDescent="0.25">
      <c r="A9" s="308" t="s">
        <v>6</v>
      </c>
      <c r="B9" s="308"/>
      <c r="C9" s="308"/>
      <c r="D9" s="308"/>
      <c r="E9" s="308"/>
      <c r="F9" s="308"/>
      <c r="G9" s="308"/>
      <c r="H9" s="308"/>
      <c r="I9" s="308"/>
      <c r="J9" s="308"/>
      <c r="K9" s="308"/>
      <c r="L9" s="308"/>
      <c r="M9" s="308"/>
      <c r="N9" s="308"/>
      <c r="O9" s="308"/>
      <c r="P9" s="308"/>
      <c r="Q9" s="308"/>
      <c r="R9" s="308"/>
      <c r="S9" s="308"/>
      <c r="T9" s="308"/>
      <c r="U9" s="308"/>
      <c r="V9" s="308"/>
      <c r="W9" s="308"/>
      <c r="X9" s="308"/>
      <c r="Y9" s="308"/>
      <c r="Z9" s="308"/>
      <c r="AA9" s="113"/>
      <c r="AB9" s="113"/>
    </row>
    <row r="10" spans="1:28" ht="18.75" x14ac:dyDescent="0.25">
      <c r="A10" s="304"/>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110"/>
      <c r="AB10" s="110"/>
    </row>
    <row r="11" spans="1:28" ht="15.75" x14ac:dyDescent="0.25">
      <c r="A11" s="302" t="str">
        <f>'1. паспорт местоположение'!A12:C12</f>
        <v>J_19-05</v>
      </c>
      <c r="B11" s="302"/>
      <c r="C11" s="302"/>
      <c r="D11" s="302"/>
      <c r="E11" s="302"/>
      <c r="F11" s="302"/>
      <c r="G11" s="302"/>
      <c r="H11" s="302"/>
      <c r="I11" s="302"/>
      <c r="J11" s="302"/>
      <c r="K11" s="302"/>
      <c r="L11" s="302"/>
      <c r="M11" s="302"/>
      <c r="N11" s="302"/>
      <c r="O11" s="302"/>
      <c r="P11" s="302"/>
      <c r="Q11" s="302"/>
      <c r="R11" s="302"/>
      <c r="S11" s="302"/>
      <c r="T11" s="302"/>
      <c r="U11" s="302"/>
      <c r="V11" s="302"/>
      <c r="W11" s="302"/>
      <c r="X11" s="302"/>
      <c r="Y11" s="302"/>
      <c r="Z11" s="302"/>
      <c r="AA11" s="112"/>
      <c r="AB11" s="112"/>
    </row>
    <row r="12" spans="1:28" ht="15.75" x14ac:dyDescent="0.25">
      <c r="A12" s="308" t="s">
        <v>5</v>
      </c>
      <c r="B12" s="308"/>
      <c r="C12" s="308"/>
      <c r="D12" s="308"/>
      <c r="E12" s="308"/>
      <c r="F12" s="308"/>
      <c r="G12" s="308"/>
      <c r="H12" s="308"/>
      <c r="I12" s="308"/>
      <c r="J12" s="308"/>
      <c r="K12" s="308"/>
      <c r="L12" s="308"/>
      <c r="M12" s="308"/>
      <c r="N12" s="308"/>
      <c r="O12" s="308"/>
      <c r="P12" s="308"/>
      <c r="Q12" s="308"/>
      <c r="R12" s="308"/>
      <c r="S12" s="308"/>
      <c r="T12" s="308"/>
      <c r="U12" s="308"/>
      <c r="V12" s="308"/>
      <c r="W12" s="308"/>
      <c r="X12" s="308"/>
      <c r="Y12" s="308"/>
      <c r="Z12" s="308"/>
      <c r="AA12" s="113"/>
      <c r="AB12" s="113"/>
    </row>
    <row r="13" spans="1:28" ht="18.75" x14ac:dyDescent="0.25">
      <c r="A13" s="309"/>
      <c r="B13" s="309"/>
      <c r="C13" s="309"/>
      <c r="D13" s="309"/>
      <c r="E13" s="309"/>
      <c r="F13" s="309"/>
      <c r="G13" s="309"/>
      <c r="H13" s="309"/>
      <c r="I13" s="309"/>
      <c r="J13" s="309"/>
      <c r="K13" s="309"/>
      <c r="L13" s="309"/>
      <c r="M13" s="309"/>
      <c r="N13" s="309"/>
      <c r="O13" s="309"/>
      <c r="P13" s="309"/>
      <c r="Q13" s="309"/>
      <c r="R13" s="309"/>
      <c r="S13" s="309"/>
      <c r="T13" s="309"/>
      <c r="U13" s="309"/>
      <c r="V13" s="309"/>
      <c r="W13" s="309"/>
      <c r="X13" s="309"/>
      <c r="Y13" s="309"/>
      <c r="Z13" s="309"/>
      <c r="AA13" s="127"/>
      <c r="AB13" s="127"/>
    </row>
    <row r="14" spans="1:28" ht="15.75" x14ac:dyDescent="0.25">
      <c r="A14" s="310"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4" s="310"/>
      <c r="C14" s="310"/>
      <c r="D14" s="310"/>
      <c r="E14" s="310"/>
      <c r="F14" s="310"/>
      <c r="G14" s="310"/>
      <c r="H14" s="310"/>
      <c r="I14" s="310"/>
      <c r="J14" s="310"/>
      <c r="K14" s="310"/>
      <c r="L14" s="310"/>
      <c r="M14" s="310"/>
      <c r="N14" s="310"/>
      <c r="O14" s="310"/>
      <c r="P14" s="310"/>
      <c r="Q14" s="310"/>
      <c r="R14" s="310"/>
      <c r="S14" s="310"/>
      <c r="T14" s="310"/>
      <c r="U14" s="310"/>
      <c r="V14" s="310"/>
      <c r="W14" s="310"/>
      <c r="X14" s="310"/>
      <c r="Y14" s="310"/>
      <c r="Z14" s="310"/>
      <c r="AA14" s="112"/>
      <c r="AB14" s="112"/>
    </row>
    <row r="15" spans="1:28" ht="15.75" x14ac:dyDescent="0.25">
      <c r="A15" s="308" t="s">
        <v>4</v>
      </c>
      <c r="B15" s="308"/>
      <c r="C15" s="308"/>
      <c r="D15" s="308"/>
      <c r="E15" s="308"/>
      <c r="F15" s="308"/>
      <c r="G15" s="308"/>
      <c r="H15" s="308"/>
      <c r="I15" s="308"/>
      <c r="J15" s="308"/>
      <c r="K15" s="308"/>
      <c r="L15" s="308"/>
      <c r="M15" s="308"/>
      <c r="N15" s="308"/>
      <c r="O15" s="308"/>
      <c r="P15" s="308"/>
      <c r="Q15" s="308"/>
      <c r="R15" s="308"/>
      <c r="S15" s="308"/>
      <c r="T15" s="308"/>
      <c r="U15" s="308"/>
      <c r="V15" s="308"/>
      <c r="W15" s="308"/>
      <c r="X15" s="308"/>
      <c r="Y15" s="308"/>
      <c r="Z15" s="308"/>
      <c r="AA15" s="113"/>
      <c r="AB15" s="113"/>
    </row>
    <row r="16" spans="1:28" x14ac:dyDescent="0.25">
      <c r="A16" s="330"/>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128"/>
      <c r="AB16" s="128"/>
    </row>
    <row r="17" spans="1:28"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128"/>
      <c r="AB17" s="128"/>
    </row>
    <row r="18" spans="1:28" x14ac:dyDescent="0.25">
      <c r="A18" s="330"/>
      <c r="B18" s="330"/>
      <c r="C18" s="330"/>
      <c r="D18" s="330"/>
      <c r="E18" s="330"/>
      <c r="F18" s="330"/>
      <c r="G18" s="330"/>
      <c r="H18" s="330"/>
      <c r="I18" s="330"/>
      <c r="J18" s="330"/>
      <c r="K18" s="330"/>
      <c r="L18" s="330"/>
      <c r="M18" s="330"/>
      <c r="N18" s="330"/>
      <c r="O18" s="330"/>
      <c r="P18" s="330"/>
      <c r="Q18" s="330"/>
      <c r="R18" s="330"/>
      <c r="S18" s="330"/>
      <c r="T18" s="330"/>
      <c r="U18" s="330"/>
      <c r="V18" s="330"/>
      <c r="W18" s="330"/>
      <c r="X18" s="330"/>
      <c r="Y18" s="330"/>
      <c r="Z18" s="330"/>
      <c r="AA18" s="128"/>
      <c r="AB18" s="128"/>
    </row>
    <row r="19" spans="1:28" x14ac:dyDescent="0.25">
      <c r="A19" s="330"/>
      <c r="B19" s="330"/>
      <c r="C19" s="330"/>
      <c r="D19" s="330"/>
      <c r="E19" s="330"/>
      <c r="F19" s="330"/>
      <c r="G19" s="330"/>
      <c r="H19" s="330"/>
      <c r="I19" s="330"/>
      <c r="J19" s="330"/>
      <c r="K19" s="330"/>
      <c r="L19" s="330"/>
      <c r="M19" s="330"/>
      <c r="N19" s="330"/>
      <c r="O19" s="330"/>
      <c r="P19" s="330"/>
      <c r="Q19" s="330"/>
      <c r="R19" s="330"/>
      <c r="S19" s="330"/>
      <c r="T19" s="330"/>
      <c r="U19" s="330"/>
      <c r="V19" s="330"/>
      <c r="W19" s="330"/>
      <c r="X19" s="330"/>
      <c r="Y19" s="330"/>
      <c r="Z19" s="330"/>
      <c r="AA19" s="128"/>
      <c r="AB19" s="128"/>
    </row>
    <row r="20" spans="1:28" x14ac:dyDescent="0.25">
      <c r="A20" s="330"/>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128"/>
      <c r="AB20" s="128"/>
    </row>
    <row r="21" spans="1:28" x14ac:dyDescent="0.25">
      <c r="A21" s="330"/>
      <c r="B21" s="330"/>
      <c r="C21" s="330"/>
      <c r="D21" s="330"/>
      <c r="E21" s="330"/>
      <c r="F21" s="330"/>
      <c r="G21" s="330"/>
      <c r="H21" s="330"/>
      <c r="I21" s="330"/>
      <c r="J21" s="330"/>
      <c r="K21" s="330"/>
      <c r="L21" s="330"/>
      <c r="M21" s="330"/>
      <c r="N21" s="330"/>
      <c r="O21" s="330"/>
      <c r="P21" s="330"/>
      <c r="Q21" s="330"/>
      <c r="R21" s="330"/>
      <c r="S21" s="330"/>
      <c r="T21" s="330"/>
      <c r="U21" s="330"/>
      <c r="V21" s="330"/>
      <c r="W21" s="330"/>
      <c r="X21" s="330"/>
      <c r="Y21" s="330"/>
      <c r="Z21" s="330"/>
      <c r="AA21" s="128"/>
      <c r="AB21" s="128"/>
    </row>
    <row r="22" spans="1:28" x14ac:dyDescent="0.25">
      <c r="A22" s="331" t="s">
        <v>411</v>
      </c>
      <c r="B22" s="331"/>
      <c r="C22" s="331"/>
      <c r="D22" s="331"/>
      <c r="E22" s="331"/>
      <c r="F22" s="331"/>
      <c r="G22" s="331"/>
      <c r="H22" s="331"/>
      <c r="I22" s="331"/>
      <c r="J22" s="331"/>
      <c r="K22" s="331"/>
      <c r="L22" s="331"/>
      <c r="M22" s="331"/>
      <c r="N22" s="331"/>
      <c r="O22" s="331"/>
      <c r="P22" s="331"/>
      <c r="Q22" s="331"/>
      <c r="R22" s="331"/>
      <c r="S22" s="331"/>
      <c r="T22" s="331"/>
      <c r="U22" s="331"/>
      <c r="V22" s="331"/>
      <c r="W22" s="331"/>
      <c r="X22" s="331"/>
      <c r="Y22" s="331"/>
      <c r="Z22" s="331"/>
      <c r="AA22" s="129"/>
      <c r="AB22" s="129"/>
    </row>
    <row r="23" spans="1:28" ht="32.25" customHeight="1" x14ac:dyDescent="0.25">
      <c r="A23" s="333" t="s">
        <v>294</v>
      </c>
      <c r="B23" s="334"/>
      <c r="C23" s="334"/>
      <c r="D23" s="334"/>
      <c r="E23" s="334"/>
      <c r="F23" s="334"/>
      <c r="G23" s="334"/>
      <c r="H23" s="334"/>
      <c r="I23" s="334"/>
      <c r="J23" s="334"/>
      <c r="K23" s="334"/>
      <c r="L23" s="335"/>
      <c r="M23" s="332" t="s">
        <v>295</v>
      </c>
      <c r="N23" s="332"/>
      <c r="O23" s="332"/>
      <c r="P23" s="332"/>
      <c r="Q23" s="332"/>
      <c r="R23" s="332"/>
      <c r="S23" s="332"/>
      <c r="T23" s="332"/>
      <c r="U23" s="332"/>
      <c r="V23" s="332"/>
      <c r="W23" s="332"/>
      <c r="X23" s="332"/>
      <c r="Y23" s="332"/>
      <c r="Z23" s="332"/>
    </row>
    <row r="24" spans="1:28" ht="151.5" customHeight="1" x14ac:dyDescent="0.25">
      <c r="A24" s="130" t="s">
        <v>210</v>
      </c>
      <c r="B24" s="131" t="s">
        <v>229</v>
      </c>
      <c r="C24" s="130" t="s">
        <v>292</v>
      </c>
      <c r="D24" s="130" t="s">
        <v>211</v>
      </c>
      <c r="E24" s="130" t="s">
        <v>293</v>
      </c>
      <c r="F24" s="130" t="s">
        <v>442</v>
      </c>
      <c r="G24" s="130" t="s">
        <v>443</v>
      </c>
      <c r="H24" s="130" t="s">
        <v>212</v>
      </c>
      <c r="I24" s="130" t="s">
        <v>444</v>
      </c>
      <c r="J24" s="130" t="s">
        <v>234</v>
      </c>
      <c r="K24" s="131" t="s">
        <v>228</v>
      </c>
      <c r="L24" s="131" t="s">
        <v>213</v>
      </c>
      <c r="M24" s="132" t="s">
        <v>241</v>
      </c>
      <c r="N24" s="131" t="s">
        <v>445</v>
      </c>
      <c r="O24" s="130" t="s">
        <v>446</v>
      </c>
      <c r="P24" s="130" t="s">
        <v>447</v>
      </c>
      <c r="Q24" s="130" t="s">
        <v>448</v>
      </c>
      <c r="R24" s="130" t="s">
        <v>212</v>
      </c>
      <c r="S24" s="130" t="s">
        <v>449</v>
      </c>
      <c r="T24" s="130" t="s">
        <v>450</v>
      </c>
      <c r="U24" s="130" t="s">
        <v>451</v>
      </c>
      <c r="V24" s="130" t="s">
        <v>448</v>
      </c>
      <c r="W24" s="133" t="s">
        <v>452</v>
      </c>
      <c r="X24" s="133" t="s">
        <v>453</v>
      </c>
      <c r="Y24" s="133" t="s">
        <v>454</v>
      </c>
      <c r="Z24" s="134" t="s">
        <v>246</v>
      </c>
    </row>
    <row r="25" spans="1:28" ht="16.5" customHeight="1" x14ac:dyDescent="0.25">
      <c r="A25" s="130">
        <v>1</v>
      </c>
      <c r="B25" s="131">
        <v>2</v>
      </c>
      <c r="C25" s="130">
        <v>3</v>
      </c>
      <c r="D25" s="131">
        <v>4</v>
      </c>
      <c r="E25" s="130">
        <v>5</v>
      </c>
      <c r="F25" s="131">
        <v>6</v>
      </c>
      <c r="G25" s="130">
        <v>7</v>
      </c>
      <c r="H25" s="131">
        <v>8</v>
      </c>
      <c r="I25" s="130">
        <v>9</v>
      </c>
      <c r="J25" s="131">
        <v>10</v>
      </c>
      <c r="K25" s="130">
        <v>11</v>
      </c>
      <c r="L25" s="131">
        <v>12</v>
      </c>
      <c r="M25" s="130">
        <v>13</v>
      </c>
      <c r="N25" s="131">
        <v>14</v>
      </c>
      <c r="O25" s="130">
        <v>15</v>
      </c>
      <c r="P25" s="131">
        <v>16</v>
      </c>
      <c r="Q25" s="130">
        <v>17</v>
      </c>
      <c r="R25" s="131">
        <v>18</v>
      </c>
      <c r="S25" s="130">
        <v>19</v>
      </c>
      <c r="T25" s="131">
        <v>20</v>
      </c>
      <c r="U25" s="130">
        <v>21</v>
      </c>
      <c r="V25" s="131">
        <v>22</v>
      </c>
      <c r="W25" s="130">
        <v>23</v>
      </c>
      <c r="X25" s="131">
        <v>24</v>
      </c>
      <c r="Y25" s="130">
        <v>25</v>
      </c>
      <c r="Z25" s="131">
        <v>26</v>
      </c>
    </row>
    <row r="26" spans="1:28" ht="45.75" customHeight="1" x14ac:dyDescent="0.25">
      <c r="A26" s="135" t="s">
        <v>290</v>
      </c>
      <c r="B26" s="135"/>
      <c r="C26" s="136" t="s">
        <v>455</v>
      </c>
      <c r="D26" s="136" t="s">
        <v>456</v>
      </c>
      <c r="E26" s="136" t="s">
        <v>457</v>
      </c>
      <c r="F26" s="136" t="s">
        <v>458</v>
      </c>
      <c r="G26" s="136" t="s">
        <v>459</v>
      </c>
      <c r="H26" s="136" t="s">
        <v>212</v>
      </c>
      <c r="I26" s="136" t="s">
        <v>460</v>
      </c>
      <c r="J26" s="136" t="s">
        <v>461</v>
      </c>
      <c r="K26" s="137"/>
      <c r="L26" s="136" t="s">
        <v>588</v>
      </c>
      <c r="M26" s="138" t="s">
        <v>239</v>
      </c>
      <c r="N26" s="137"/>
      <c r="O26" s="137"/>
      <c r="P26" s="137"/>
      <c r="Q26" s="137"/>
      <c r="R26" s="137"/>
      <c r="S26" s="137"/>
      <c r="T26" s="137"/>
      <c r="U26" s="137"/>
      <c r="V26" s="137"/>
      <c r="W26" s="137"/>
      <c r="X26" s="137"/>
      <c r="Y26" s="137"/>
      <c r="Z26" s="139" t="s">
        <v>247</v>
      </c>
    </row>
    <row r="27" spans="1:28" x14ac:dyDescent="0.25">
      <c r="A27" s="137" t="s">
        <v>214</v>
      </c>
      <c r="B27" s="137" t="s">
        <v>230</v>
      </c>
      <c r="C27" s="137" t="s">
        <v>215</v>
      </c>
      <c r="D27" s="137" t="s">
        <v>216</v>
      </c>
      <c r="E27" s="137" t="s">
        <v>242</v>
      </c>
      <c r="F27" s="136" t="s">
        <v>462</v>
      </c>
      <c r="G27" s="136" t="s">
        <v>463</v>
      </c>
      <c r="H27" s="137" t="s">
        <v>212</v>
      </c>
      <c r="I27" s="136" t="s">
        <v>464</v>
      </c>
      <c r="J27" s="136" t="s">
        <v>465</v>
      </c>
      <c r="K27" s="136" t="s">
        <v>223</v>
      </c>
      <c r="L27" s="137"/>
      <c r="M27" s="136" t="s">
        <v>240</v>
      </c>
      <c r="N27" s="137"/>
      <c r="O27" s="137"/>
      <c r="P27" s="137"/>
      <c r="Q27" s="137"/>
      <c r="R27" s="137"/>
      <c r="S27" s="137"/>
      <c r="T27" s="137"/>
      <c r="U27" s="137"/>
      <c r="V27" s="137"/>
      <c r="W27" s="137"/>
      <c r="X27" s="137"/>
      <c r="Y27" s="137"/>
      <c r="Z27" s="137"/>
    </row>
    <row r="28" spans="1:28" x14ac:dyDescent="0.25">
      <c r="A28" s="137" t="s">
        <v>214</v>
      </c>
      <c r="B28" s="137" t="s">
        <v>231</v>
      </c>
      <c r="C28" s="137" t="s">
        <v>217</v>
      </c>
      <c r="D28" s="137" t="s">
        <v>218</v>
      </c>
      <c r="E28" s="137" t="s">
        <v>243</v>
      </c>
      <c r="F28" s="136" t="s">
        <v>466</v>
      </c>
      <c r="G28" s="136" t="s">
        <v>467</v>
      </c>
      <c r="H28" s="137" t="s">
        <v>212</v>
      </c>
      <c r="I28" s="136" t="s">
        <v>235</v>
      </c>
      <c r="J28" s="136" t="s">
        <v>468</v>
      </c>
      <c r="K28" s="136" t="s">
        <v>224</v>
      </c>
      <c r="L28" s="140"/>
      <c r="M28" s="136" t="s">
        <v>0</v>
      </c>
      <c r="N28" s="136"/>
      <c r="O28" s="136"/>
      <c r="P28" s="136"/>
      <c r="Q28" s="136"/>
      <c r="R28" s="136"/>
      <c r="S28" s="136"/>
      <c r="T28" s="136"/>
      <c r="U28" s="136"/>
      <c r="V28" s="136"/>
      <c r="W28" s="136"/>
      <c r="X28" s="136"/>
      <c r="Y28" s="136"/>
      <c r="Z28" s="136"/>
    </row>
    <row r="29" spans="1:28" x14ac:dyDescent="0.25">
      <c r="A29" s="137" t="s">
        <v>214</v>
      </c>
      <c r="B29" s="137" t="s">
        <v>232</v>
      </c>
      <c r="C29" s="137" t="s">
        <v>219</v>
      </c>
      <c r="D29" s="137" t="s">
        <v>220</v>
      </c>
      <c r="E29" s="137" t="s">
        <v>244</v>
      </c>
      <c r="F29" s="136" t="s">
        <v>469</v>
      </c>
      <c r="G29" s="136" t="s">
        <v>470</v>
      </c>
      <c r="H29" s="137" t="s">
        <v>212</v>
      </c>
      <c r="I29" s="136" t="s">
        <v>236</v>
      </c>
      <c r="J29" s="136" t="s">
        <v>471</v>
      </c>
      <c r="K29" s="136" t="s">
        <v>225</v>
      </c>
      <c r="L29" s="140"/>
      <c r="M29" s="137"/>
      <c r="N29" s="137"/>
      <c r="O29" s="137"/>
      <c r="P29" s="137"/>
      <c r="Q29" s="137"/>
      <c r="R29" s="137"/>
      <c r="S29" s="137"/>
      <c r="T29" s="137"/>
      <c r="U29" s="137"/>
      <c r="V29" s="137"/>
      <c r="W29" s="137"/>
      <c r="X29" s="137"/>
      <c r="Y29" s="137"/>
      <c r="Z29" s="137"/>
    </row>
    <row r="30" spans="1:28" x14ac:dyDescent="0.25">
      <c r="A30" s="137" t="s">
        <v>214</v>
      </c>
      <c r="B30" s="137" t="s">
        <v>233</v>
      </c>
      <c r="C30" s="137" t="s">
        <v>221</v>
      </c>
      <c r="D30" s="137" t="s">
        <v>222</v>
      </c>
      <c r="E30" s="137" t="s">
        <v>245</v>
      </c>
      <c r="F30" s="136" t="s">
        <v>472</v>
      </c>
      <c r="G30" s="136" t="s">
        <v>473</v>
      </c>
      <c r="H30" s="137" t="s">
        <v>212</v>
      </c>
      <c r="I30" s="136" t="s">
        <v>237</v>
      </c>
      <c r="J30" s="136" t="s">
        <v>474</v>
      </c>
      <c r="K30" s="136" t="s">
        <v>226</v>
      </c>
      <c r="L30" s="140"/>
      <c r="M30" s="137"/>
      <c r="N30" s="137"/>
      <c r="O30" s="137"/>
      <c r="P30" s="137"/>
      <c r="Q30" s="137"/>
      <c r="R30" s="137"/>
      <c r="S30" s="137"/>
      <c r="T30" s="137"/>
      <c r="U30" s="137"/>
      <c r="V30" s="137"/>
      <c r="W30" s="137"/>
      <c r="X30" s="137"/>
      <c r="Y30" s="137"/>
      <c r="Z30" s="137"/>
    </row>
    <row r="31" spans="1:28" x14ac:dyDescent="0.25">
      <c r="A31" s="137" t="s">
        <v>0</v>
      </c>
      <c r="B31" s="137" t="s">
        <v>0</v>
      </c>
      <c r="C31" s="137" t="s">
        <v>0</v>
      </c>
      <c r="D31" s="137" t="s">
        <v>0</v>
      </c>
      <c r="E31" s="137" t="s">
        <v>0</v>
      </c>
      <c r="F31" s="137" t="s">
        <v>0</v>
      </c>
      <c r="G31" s="137" t="s">
        <v>0</v>
      </c>
      <c r="H31" s="137" t="s">
        <v>0</v>
      </c>
      <c r="I31" s="137" t="s">
        <v>0</v>
      </c>
      <c r="J31" s="137" t="s">
        <v>0</v>
      </c>
      <c r="K31" s="137" t="s">
        <v>0</v>
      </c>
      <c r="L31" s="140"/>
      <c r="M31" s="137"/>
      <c r="N31" s="137"/>
      <c r="O31" s="137"/>
      <c r="P31" s="137"/>
      <c r="Q31" s="137"/>
      <c r="R31" s="137"/>
      <c r="S31" s="137"/>
      <c r="T31" s="137"/>
      <c r="U31" s="137"/>
      <c r="V31" s="137"/>
      <c r="W31" s="137"/>
      <c r="X31" s="137"/>
      <c r="Y31" s="137"/>
      <c r="Z31" s="137"/>
    </row>
    <row r="32" spans="1:28" ht="30" x14ac:dyDescent="0.25">
      <c r="A32" s="135" t="s">
        <v>291</v>
      </c>
      <c r="B32" s="135"/>
      <c r="C32" s="136" t="s">
        <v>475</v>
      </c>
      <c r="D32" s="136" t="s">
        <v>476</v>
      </c>
      <c r="E32" s="136" t="s">
        <v>477</v>
      </c>
      <c r="F32" s="136" t="s">
        <v>478</v>
      </c>
      <c r="G32" s="136" t="s">
        <v>479</v>
      </c>
      <c r="H32" s="136" t="s">
        <v>212</v>
      </c>
      <c r="I32" s="136" t="s">
        <v>480</v>
      </c>
      <c r="J32" s="136" t="s">
        <v>481</v>
      </c>
      <c r="K32" s="137"/>
      <c r="L32" s="137"/>
      <c r="M32" s="137"/>
      <c r="N32" s="137"/>
      <c r="O32" s="137"/>
      <c r="P32" s="137"/>
      <c r="Q32" s="137"/>
      <c r="R32" s="137"/>
      <c r="S32" s="137"/>
      <c r="T32" s="137"/>
      <c r="U32" s="137"/>
      <c r="V32" s="137"/>
      <c r="W32" s="137"/>
      <c r="X32" s="137"/>
      <c r="Y32" s="137"/>
      <c r="Z32" s="137"/>
    </row>
    <row r="33" spans="1:26" x14ac:dyDescent="0.25">
      <c r="A33" s="137" t="s">
        <v>0</v>
      </c>
      <c r="B33" s="137" t="s">
        <v>0</v>
      </c>
      <c r="C33" s="137" t="s">
        <v>0</v>
      </c>
      <c r="D33" s="137" t="s">
        <v>0</v>
      </c>
      <c r="E33" s="137" t="s">
        <v>0</v>
      </c>
      <c r="F33" s="137" t="s">
        <v>0</v>
      </c>
      <c r="G33" s="137" t="s">
        <v>0</v>
      </c>
      <c r="H33" s="137" t="s">
        <v>0</v>
      </c>
      <c r="I33" s="137" t="s">
        <v>0</v>
      </c>
      <c r="J33" s="137" t="s">
        <v>0</v>
      </c>
      <c r="K33" s="137" t="s">
        <v>0</v>
      </c>
      <c r="L33" s="137"/>
      <c r="M33" s="137"/>
      <c r="N33" s="137"/>
      <c r="O33" s="137"/>
      <c r="P33" s="137"/>
      <c r="Q33" s="137"/>
      <c r="R33" s="137"/>
      <c r="S33" s="137"/>
      <c r="T33" s="137"/>
      <c r="U33" s="137"/>
      <c r="V33" s="137"/>
      <c r="W33" s="137"/>
      <c r="X33" s="137"/>
      <c r="Y33" s="137"/>
      <c r="Z33" s="137"/>
    </row>
    <row r="37" spans="1:26" x14ac:dyDescent="0.25">
      <c r="A37" s="141"/>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A15" sqref="A15:O15"/>
    </sheetView>
  </sheetViews>
  <sheetFormatPr defaultColWidth="9.140625" defaultRowHeight="15" x14ac:dyDescent="0.25"/>
  <cols>
    <col min="1" max="1" width="7.42578125" style="120" customWidth="1"/>
    <col min="2" max="2" width="25.5703125" style="120" customWidth="1"/>
    <col min="3" max="3" width="71.28515625" style="120" customWidth="1"/>
    <col min="4" max="4" width="16.140625" style="120" customWidth="1"/>
    <col min="5" max="5" width="9.42578125" style="120" customWidth="1"/>
    <col min="6" max="6" width="8.7109375" style="120" customWidth="1"/>
    <col min="7" max="7" width="9" style="120" customWidth="1"/>
    <col min="8" max="8" width="8.42578125" style="120" customWidth="1"/>
    <col min="9" max="9" width="33.85546875" style="120" customWidth="1"/>
    <col min="10" max="11" width="19.140625" style="120" customWidth="1"/>
    <col min="12" max="12" width="16" style="120" customWidth="1"/>
    <col min="13" max="13" width="14.85546875" style="120" customWidth="1"/>
    <col min="14" max="14" width="16.28515625" style="120" customWidth="1"/>
    <col min="15" max="16384" width="9.140625" style="120"/>
  </cols>
  <sheetData>
    <row r="1" spans="1:28" s="14" customFormat="1" ht="18.75" customHeight="1" x14ac:dyDescent="0.2">
      <c r="O1" s="21" t="s">
        <v>66</v>
      </c>
    </row>
    <row r="2" spans="1:28" s="14" customFormat="1" ht="18.75" customHeight="1" x14ac:dyDescent="0.3">
      <c r="O2" s="12" t="s">
        <v>8</v>
      </c>
    </row>
    <row r="3" spans="1:28" s="14" customFormat="1" ht="18.75" x14ac:dyDescent="0.3">
      <c r="A3" s="108"/>
      <c r="B3" s="108"/>
      <c r="O3" s="12" t="s">
        <v>65</v>
      </c>
    </row>
    <row r="4" spans="1:28" s="14" customFormat="1" ht="18.75" x14ac:dyDescent="0.3">
      <c r="A4" s="108"/>
      <c r="B4" s="108"/>
      <c r="L4" s="12"/>
    </row>
    <row r="5" spans="1:28" s="14" customFormat="1" ht="15.75" x14ac:dyDescent="0.2">
      <c r="A5" s="295" t="str">
        <f>'1. паспорт местоположение'!A5:C5</f>
        <v>Год раскрытия информации: 2024 год</v>
      </c>
      <c r="B5" s="295"/>
      <c r="C5" s="295"/>
      <c r="D5" s="295"/>
      <c r="E5" s="295"/>
      <c r="F5" s="295"/>
      <c r="G5" s="295"/>
      <c r="H5" s="295"/>
      <c r="I5" s="295"/>
      <c r="J5" s="295"/>
      <c r="K5" s="295"/>
      <c r="L5" s="295"/>
      <c r="M5" s="295"/>
      <c r="N5" s="295"/>
      <c r="O5" s="295"/>
      <c r="P5" s="87"/>
      <c r="Q5" s="87"/>
      <c r="R5" s="87"/>
      <c r="S5" s="87"/>
      <c r="T5" s="87"/>
      <c r="U5" s="87"/>
      <c r="V5" s="87"/>
      <c r="W5" s="87"/>
      <c r="X5" s="87"/>
      <c r="Y5" s="87"/>
      <c r="Z5" s="87"/>
      <c r="AA5" s="87"/>
      <c r="AB5" s="87"/>
    </row>
    <row r="6" spans="1:28" s="14" customFormat="1" ht="18.75" x14ac:dyDescent="0.3">
      <c r="A6" s="108"/>
      <c r="B6" s="108"/>
      <c r="L6" s="12"/>
    </row>
    <row r="7" spans="1:28" s="14" customFormat="1" ht="18.75" x14ac:dyDescent="0.2">
      <c r="A7" s="304" t="s">
        <v>7</v>
      </c>
      <c r="B7" s="304"/>
      <c r="C7" s="304"/>
      <c r="D7" s="304"/>
      <c r="E7" s="304"/>
      <c r="F7" s="304"/>
      <c r="G7" s="304"/>
      <c r="H7" s="304"/>
      <c r="I7" s="304"/>
      <c r="J7" s="304"/>
      <c r="K7" s="304"/>
      <c r="L7" s="304"/>
      <c r="M7" s="304"/>
      <c r="N7" s="304"/>
      <c r="O7" s="304"/>
      <c r="P7" s="110"/>
      <c r="Q7" s="110"/>
      <c r="R7" s="110"/>
      <c r="S7" s="110"/>
      <c r="T7" s="110"/>
      <c r="U7" s="110"/>
      <c r="V7" s="110"/>
      <c r="W7" s="110"/>
      <c r="X7" s="110"/>
      <c r="Y7" s="110"/>
      <c r="Z7" s="110"/>
    </row>
    <row r="8" spans="1:28" s="14" customFormat="1" ht="18.75" x14ac:dyDescent="0.2">
      <c r="A8" s="304"/>
      <c r="B8" s="304"/>
      <c r="C8" s="304"/>
      <c r="D8" s="304"/>
      <c r="E8" s="304"/>
      <c r="F8" s="304"/>
      <c r="G8" s="304"/>
      <c r="H8" s="304"/>
      <c r="I8" s="304"/>
      <c r="J8" s="304"/>
      <c r="K8" s="304"/>
      <c r="L8" s="304"/>
      <c r="M8" s="304"/>
      <c r="N8" s="304"/>
      <c r="O8" s="304"/>
      <c r="P8" s="110"/>
      <c r="Q8" s="110"/>
      <c r="R8" s="110"/>
      <c r="S8" s="110"/>
      <c r="T8" s="110"/>
      <c r="U8" s="110"/>
      <c r="V8" s="110"/>
      <c r="W8" s="110"/>
      <c r="X8" s="110"/>
      <c r="Y8" s="110"/>
      <c r="Z8" s="110"/>
    </row>
    <row r="9" spans="1:28" s="14" customFormat="1" ht="18.75" x14ac:dyDescent="0.2">
      <c r="A9" s="302" t="str">
        <f>'1. паспорт местоположение'!A9:C9</f>
        <v xml:space="preserve">Акционерное общество "Западная энергетическая компания" </v>
      </c>
      <c r="B9" s="302"/>
      <c r="C9" s="302"/>
      <c r="D9" s="302"/>
      <c r="E9" s="302"/>
      <c r="F9" s="302"/>
      <c r="G9" s="302"/>
      <c r="H9" s="302"/>
      <c r="I9" s="302"/>
      <c r="J9" s="302"/>
      <c r="K9" s="302"/>
      <c r="L9" s="302"/>
      <c r="M9" s="302"/>
      <c r="N9" s="302"/>
      <c r="O9" s="302"/>
      <c r="P9" s="110"/>
      <c r="Q9" s="110"/>
      <c r="R9" s="110"/>
      <c r="S9" s="110"/>
      <c r="T9" s="110"/>
      <c r="U9" s="110"/>
      <c r="V9" s="110"/>
      <c r="W9" s="110"/>
      <c r="X9" s="110"/>
      <c r="Y9" s="110"/>
      <c r="Z9" s="110"/>
    </row>
    <row r="10" spans="1:28" s="14" customFormat="1" ht="18.75" x14ac:dyDescent="0.2">
      <c r="A10" s="308" t="s">
        <v>6</v>
      </c>
      <c r="B10" s="308"/>
      <c r="C10" s="308"/>
      <c r="D10" s="308"/>
      <c r="E10" s="308"/>
      <c r="F10" s="308"/>
      <c r="G10" s="308"/>
      <c r="H10" s="308"/>
      <c r="I10" s="308"/>
      <c r="J10" s="308"/>
      <c r="K10" s="308"/>
      <c r="L10" s="308"/>
      <c r="M10" s="308"/>
      <c r="N10" s="308"/>
      <c r="O10" s="308"/>
      <c r="P10" s="110"/>
      <c r="Q10" s="110"/>
      <c r="R10" s="110"/>
      <c r="S10" s="110"/>
      <c r="T10" s="110"/>
      <c r="U10" s="110"/>
      <c r="V10" s="110"/>
      <c r="W10" s="110"/>
      <c r="X10" s="110"/>
      <c r="Y10" s="110"/>
      <c r="Z10" s="110"/>
    </row>
    <row r="11" spans="1:28" s="14" customFormat="1" ht="18.75" x14ac:dyDescent="0.2">
      <c r="A11" s="304"/>
      <c r="B11" s="304"/>
      <c r="C11" s="304"/>
      <c r="D11" s="304"/>
      <c r="E11" s="304"/>
      <c r="F11" s="304"/>
      <c r="G11" s="304"/>
      <c r="H11" s="304"/>
      <c r="I11" s="304"/>
      <c r="J11" s="304"/>
      <c r="K11" s="304"/>
      <c r="L11" s="304"/>
      <c r="M11" s="304"/>
      <c r="N11" s="304"/>
      <c r="O11" s="304"/>
      <c r="P11" s="110"/>
      <c r="Q11" s="110"/>
      <c r="R11" s="110"/>
      <c r="S11" s="110"/>
      <c r="T11" s="110"/>
      <c r="U11" s="110"/>
      <c r="V11" s="110"/>
      <c r="W11" s="110"/>
      <c r="X11" s="110"/>
      <c r="Y11" s="110"/>
      <c r="Z11" s="110"/>
    </row>
    <row r="12" spans="1:28" s="14" customFormat="1" ht="18.75" x14ac:dyDescent="0.2">
      <c r="A12" s="302" t="str">
        <f>'1. паспорт местоположение'!A12:C12</f>
        <v>J_19-05</v>
      </c>
      <c r="B12" s="302"/>
      <c r="C12" s="302"/>
      <c r="D12" s="302"/>
      <c r="E12" s="302"/>
      <c r="F12" s="302"/>
      <c r="G12" s="302"/>
      <c r="H12" s="302"/>
      <c r="I12" s="302"/>
      <c r="J12" s="302"/>
      <c r="K12" s="302"/>
      <c r="L12" s="302"/>
      <c r="M12" s="302"/>
      <c r="N12" s="302"/>
      <c r="O12" s="302"/>
      <c r="P12" s="110"/>
      <c r="Q12" s="110"/>
      <c r="R12" s="110"/>
      <c r="S12" s="110"/>
      <c r="T12" s="110"/>
      <c r="U12" s="110"/>
      <c r="V12" s="110"/>
      <c r="W12" s="110"/>
      <c r="X12" s="110"/>
      <c r="Y12" s="110"/>
      <c r="Z12" s="110"/>
    </row>
    <row r="13" spans="1:28" s="14" customFormat="1" ht="18.75" x14ac:dyDescent="0.2">
      <c r="A13" s="308" t="s">
        <v>5</v>
      </c>
      <c r="B13" s="308"/>
      <c r="C13" s="308"/>
      <c r="D13" s="308"/>
      <c r="E13" s="308"/>
      <c r="F13" s="308"/>
      <c r="G13" s="308"/>
      <c r="H13" s="308"/>
      <c r="I13" s="308"/>
      <c r="J13" s="308"/>
      <c r="K13" s="308"/>
      <c r="L13" s="308"/>
      <c r="M13" s="308"/>
      <c r="N13" s="308"/>
      <c r="O13" s="308"/>
      <c r="P13" s="110"/>
      <c r="Q13" s="110"/>
      <c r="R13" s="110"/>
      <c r="S13" s="110"/>
      <c r="T13" s="110"/>
      <c r="U13" s="110"/>
      <c r="V13" s="110"/>
      <c r="W13" s="110"/>
      <c r="X13" s="110"/>
      <c r="Y13" s="110"/>
      <c r="Z13" s="110"/>
    </row>
    <row r="14" spans="1:28" s="14" customFormat="1" ht="15.75" customHeight="1" x14ac:dyDescent="0.2">
      <c r="A14" s="309"/>
      <c r="B14" s="309"/>
      <c r="C14" s="309"/>
      <c r="D14" s="309"/>
      <c r="E14" s="309"/>
      <c r="F14" s="309"/>
      <c r="G14" s="309"/>
      <c r="H14" s="309"/>
      <c r="I14" s="309"/>
      <c r="J14" s="309"/>
      <c r="K14" s="309"/>
      <c r="L14" s="309"/>
      <c r="M14" s="309"/>
      <c r="N14" s="309"/>
      <c r="O14" s="309"/>
      <c r="P14" s="111"/>
      <c r="Q14" s="111"/>
      <c r="R14" s="111"/>
      <c r="S14" s="111"/>
      <c r="T14" s="111"/>
      <c r="U14" s="111"/>
      <c r="V14" s="111"/>
      <c r="W14" s="111"/>
      <c r="X14" s="111"/>
      <c r="Y14" s="111"/>
      <c r="Z14" s="111"/>
    </row>
    <row r="15" spans="1:28" s="109" customFormat="1" ht="15.75" x14ac:dyDescent="0.2">
      <c r="A15" s="310"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5" s="310"/>
      <c r="C15" s="310"/>
      <c r="D15" s="310"/>
      <c r="E15" s="310"/>
      <c r="F15" s="310"/>
      <c r="G15" s="310"/>
      <c r="H15" s="310"/>
      <c r="I15" s="310"/>
      <c r="J15" s="310"/>
      <c r="K15" s="310"/>
      <c r="L15" s="310"/>
      <c r="M15" s="310"/>
      <c r="N15" s="310"/>
      <c r="O15" s="310"/>
      <c r="P15" s="112"/>
      <c r="Q15" s="112"/>
      <c r="R15" s="112"/>
      <c r="S15" s="112"/>
      <c r="T15" s="112"/>
      <c r="U15" s="112"/>
      <c r="V15" s="112"/>
      <c r="W15" s="112"/>
      <c r="X15" s="112"/>
      <c r="Y15" s="112"/>
      <c r="Z15" s="112"/>
    </row>
    <row r="16" spans="1:28" s="109" customFormat="1" ht="15" customHeight="1" x14ac:dyDescent="0.2">
      <c r="A16" s="308" t="s">
        <v>4</v>
      </c>
      <c r="B16" s="308"/>
      <c r="C16" s="308"/>
      <c r="D16" s="308"/>
      <c r="E16" s="308"/>
      <c r="F16" s="308"/>
      <c r="G16" s="308"/>
      <c r="H16" s="308"/>
      <c r="I16" s="308"/>
      <c r="J16" s="308"/>
      <c r="K16" s="308"/>
      <c r="L16" s="308"/>
      <c r="M16" s="308"/>
      <c r="N16" s="308"/>
      <c r="O16" s="308"/>
      <c r="P16" s="113"/>
      <c r="Q16" s="113"/>
      <c r="R16" s="113"/>
      <c r="S16" s="113"/>
      <c r="T16" s="113"/>
      <c r="U16" s="113"/>
      <c r="V16" s="113"/>
      <c r="W16" s="113"/>
      <c r="X16" s="113"/>
      <c r="Y16" s="113"/>
      <c r="Z16" s="113"/>
    </row>
    <row r="17" spans="1:26" s="109" customFormat="1" ht="15" customHeight="1" x14ac:dyDescent="0.2">
      <c r="A17" s="309"/>
      <c r="B17" s="309"/>
      <c r="C17" s="309"/>
      <c r="D17" s="309"/>
      <c r="E17" s="309"/>
      <c r="F17" s="309"/>
      <c r="G17" s="309"/>
      <c r="H17" s="309"/>
      <c r="I17" s="309"/>
      <c r="J17" s="309"/>
      <c r="K17" s="309"/>
      <c r="L17" s="309"/>
      <c r="M17" s="309"/>
      <c r="N17" s="309"/>
      <c r="O17" s="309"/>
      <c r="P17" s="111"/>
      <c r="Q17" s="111"/>
      <c r="R17" s="111"/>
      <c r="S17" s="111"/>
      <c r="T17" s="111"/>
      <c r="U17" s="111"/>
      <c r="V17" s="111"/>
      <c r="W17" s="111"/>
    </row>
    <row r="18" spans="1:26" s="109" customFormat="1" ht="91.5" customHeight="1" x14ac:dyDescent="0.2">
      <c r="A18" s="340" t="s">
        <v>389</v>
      </c>
      <c r="B18" s="340"/>
      <c r="C18" s="340"/>
      <c r="D18" s="340"/>
      <c r="E18" s="340"/>
      <c r="F18" s="340"/>
      <c r="G18" s="340"/>
      <c r="H18" s="340"/>
      <c r="I18" s="340"/>
      <c r="J18" s="340"/>
      <c r="K18" s="340"/>
      <c r="L18" s="340"/>
      <c r="M18" s="340"/>
      <c r="N18" s="340"/>
      <c r="O18" s="340"/>
      <c r="P18" s="114"/>
      <c r="Q18" s="114"/>
      <c r="R18" s="114"/>
      <c r="S18" s="114"/>
      <c r="T18" s="114"/>
      <c r="U18" s="114"/>
      <c r="V18" s="114"/>
      <c r="W18" s="114"/>
      <c r="X18" s="114"/>
      <c r="Y18" s="114"/>
      <c r="Z18" s="114"/>
    </row>
    <row r="19" spans="1:26" s="109" customFormat="1" ht="78" customHeight="1" x14ac:dyDescent="0.2">
      <c r="A19" s="336" t="s">
        <v>3</v>
      </c>
      <c r="B19" s="336" t="s">
        <v>82</v>
      </c>
      <c r="C19" s="336" t="s">
        <v>81</v>
      </c>
      <c r="D19" s="336" t="s">
        <v>73</v>
      </c>
      <c r="E19" s="337" t="s">
        <v>80</v>
      </c>
      <c r="F19" s="338"/>
      <c r="G19" s="338"/>
      <c r="H19" s="338"/>
      <c r="I19" s="339"/>
      <c r="J19" s="336" t="s">
        <v>79</v>
      </c>
      <c r="K19" s="336"/>
      <c r="L19" s="336"/>
      <c r="M19" s="336"/>
      <c r="N19" s="336"/>
      <c r="O19" s="336"/>
      <c r="P19" s="111"/>
      <c r="Q19" s="111"/>
      <c r="R19" s="111"/>
      <c r="S19" s="111"/>
      <c r="T19" s="111"/>
      <c r="U19" s="111"/>
      <c r="V19" s="111"/>
      <c r="W19" s="111"/>
    </row>
    <row r="20" spans="1:26" s="109" customFormat="1" ht="51" customHeight="1" x14ac:dyDescent="0.2">
      <c r="A20" s="336"/>
      <c r="B20" s="336"/>
      <c r="C20" s="336"/>
      <c r="D20" s="336"/>
      <c r="E20" s="178" t="s">
        <v>78</v>
      </c>
      <c r="F20" s="178" t="s">
        <v>77</v>
      </c>
      <c r="G20" s="178" t="s">
        <v>76</v>
      </c>
      <c r="H20" s="178" t="s">
        <v>75</v>
      </c>
      <c r="I20" s="178" t="s">
        <v>74</v>
      </c>
      <c r="J20" s="178">
        <v>2018</v>
      </c>
      <c r="K20" s="178">
        <v>2019</v>
      </c>
      <c r="L20" s="178">
        <v>2020</v>
      </c>
      <c r="M20" s="178">
        <v>2021</v>
      </c>
      <c r="N20" s="178">
        <v>2022</v>
      </c>
      <c r="O20" s="178">
        <v>2023</v>
      </c>
      <c r="P20" s="111"/>
      <c r="Q20" s="111"/>
      <c r="R20" s="111"/>
      <c r="S20" s="111"/>
      <c r="T20" s="111"/>
      <c r="U20" s="111"/>
      <c r="V20" s="111"/>
      <c r="W20" s="111"/>
    </row>
    <row r="21" spans="1:26" s="109"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1"/>
      <c r="Q21" s="111"/>
      <c r="R21" s="111"/>
      <c r="S21" s="111"/>
      <c r="T21" s="111"/>
      <c r="U21" s="111"/>
      <c r="V21" s="111"/>
      <c r="W21" s="111"/>
    </row>
    <row r="22" spans="1:26" s="109" customFormat="1" ht="18.75" x14ac:dyDescent="0.2">
      <c r="A22" s="15" t="s">
        <v>62</v>
      </c>
      <c r="B22" s="179" t="s">
        <v>542</v>
      </c>
      <c r="C22" s="17">
        <v>0</v>
      </c>
      <c r="D22" s="17">
        <v>0</v>
      </c>
      <c r="E22" s="17">
        <v>0</v>
      </c>
      <c r="F22" s="17">
        <v>0</v>
      </c>
      <c r="G22" s="17">
        <v>0</v>
      </c>
      <c r="H22" s="17">
        <v>0</v>
      </c>
      <c r="I22" s="17">
        <v>0</v>
      </c>
      <c r="J22" s="180">
        <v>0</v>
      </c>
      <c r="K22" s="180">
        <v>0</v>
      </c>
      <c r="L22" s="181">
        <v>0</v>
      </c>
      <c r="M22" s="181">
        <v>0</v>
      </c>
      <c r="N22" s="181">
        <v>0</v>
      </c>
      <c r="O22" s="181">
        <v>0</v>
      </c>
      <c r="P22" s="111"/>
      <c r="Q22" s="111"/>
      <c r="R22" s="111"/>
      <c r="S22" s="111"/>
      <c r="T22" s="111"/>
      <c r="U22" s="111"/>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workbookViewId="0">
      <selection activeCell="G92" sqref="G92"/>
    </sheetView>
  </sheetViews>
  <sheetFormatPr defaultRowHeight="12.75" x14ac:dyDescent="0.2"/>
  <cols>
    <col min="1" max="1" width="66.140625" style="204" customWidth="1"/>
    <col min="2" max="2" width="17.140625" style="204" customWidth="1"/>
    <col min="3" max="3" width="13.85546875" style="204" customWidth="1"/>
    <col min="4" max="5" width="13.5703125" style="204" customWidth="1"/>
    <col min="6" max="6" width="14.5703125" style="204" customWidth="1"/>
    <col min="7" max="7" width="13.42578125" style="204" customWidth="1"/>
    <col min="8" max="13" width="15.42578125" style="204" customWidth="1"/>
    <col min="14" max="14" width="15.42578125" style="275" customWidth="1"/>
    <col min="15" max="19" width="15.42578125" style="204" hidden="1" customWidth="1"/>
    <col min="20" max="29" width="17.28515625" style="204" hidden="1" customWidth="1"/>
    <col min="30" max="31" width="17.28515625" style="194" hidden="1" customWidth="1"/>
    <col min="32" max="39" width="9.140625" style="194" customWidth="1"/>
    <col min="40" max="16384" width="9.140625" style="194"/>
  </cols>
  <sheetData>
    <row r="1" spans="1:45" x14ac:dyDescent="0.2">
      <c r="A1" s="191"/>
      <c r="B1" s="192"/>
      <c r="C1" s="192"/>
      <c r="D1" s="192"/>
      <c r="E1" s="192"/>
      <c r="F1" s="192"/>
      <c r="G1" s="192"/>
      <c r="H1" s="192"/>
      <c r="I1" s="192"/>
      <c r="J1" s="192"/>
      <c r="K1" s="193"/>
      <c r="L1" s="192"/>
      <c r="M1" s="192"/>
      <c r="N1" s="192"/>
      <c r="O1" s="192"/>
      <c r="P1" s="193" t="s">
        <v>66</v>
      </c>
      <c r="Q1" s="192"/>
      <c r="R1" s="192"/>
      <c r="S1" s="192"/>
      <c r="T1" s="192"/>
      <c r="U1" s="192"/>
      <c r="V1" s="192"/>
      <c r="W1" s="192"/>
      <c r="X1" s="192"/>
      <c r="Y1" s="192"/>
      <c r="Z1" s="192"/>
      <c r="AA1" s="192"/>
      <c r="AB1" s="192"/>
      <c r="AC1" s="192"/>
      <c r="AD1" s="192"/>
      <c r="AE1" s="192"/>
      <c r="AF1" s="192"/>
      <c r="AG1" s="192"/>
      <c r="AH1" s="192"/>
      <c r="AI1" s="192"/>
      <c r="AJ1" s="192"/>
      <c r="AK1" s="192"/>
      <c r="AL1" s="192"/>
      <c r="AM1" s="192"/>
      <c r="AN1" s="192"/>
      <c r="AP1" s="195"/>
      <c r="AQ1" s="195"/>
      <c r="AR1" s="196"/>
      <c r="AS1" s="196"/>
    </row>
    <row r="2" spans="1:45" x14ac:dyDescent="0.2">
      <c r="A2" s="191"/>
      <c r="B2" s="192"/>
      <c r="C2" s="192"/>
      <c r="D2" s="192"/>
      <c r="E2" s="192"/>
      <c r="F2" s="192"/>
      <c r="G2" s="192"/>
      <c r="H2" s="192"/>
      <c r="I2" s="192"/>
      <c r="J2" s="192"/>
      <c r="K2" s="197"/>
      <c r="L2" s="192"/>
      <c r="M2" s="192"/>
      <c r="N2" s="192"/>
      <c r="O2" s="192"/>
      <c r="P2" s="197" t="s">
        <v>8</v>
      </c>
      <c r="Q2" s="192"/>
      <c r="R2" s="192"/>
      <c r="S2" s="192"/>
      <c r="T2" s="192"/>
      <c r="U2" s="192"/>
      <c r="V2" s="192"/>
      <c r="W2" s="192"/>
      <c r="X2" s="192"/>
      <c r="Y2" s="192"/>
      <c r="Z2" s="192"/>
      <c r="AA2" s="192"/>
      <c r="AB2" s="192"/>
      <c r="AC2" s="192"/>
      <c r="AD2" s="192"/>
      <c r="AE2" s="192"/>
      <c r="AF2" s="192"/>
      <c r="AG2" s="192"/>
      <c r="AH2" s="192"/>
      <c r="AI2" s="192"/>
      <c r="AJ2" s="192"/>
      <c r="AK2" s="192"/>
      <c r="AL2" s="192"/>
      <c r="AM2" s="192"/>
      <c r="AN2" s="192"/>
      <c r="AP2" s="195"/>
      <c r="AQ2" s="195"/>
      <c r="AR2" s="196"/>
      <c r="AS2" s="196"/>
    </row>
    <row r="3" spans="1:45" x14ac:dyDescent="0.2">
      <c r="A3" s="198"/>
      <c r="B3" s="192"/>
      <c r="C3" s="192"/>
      <c r="D3" s="192"/>
      <c r="E3" s="192"/>
      <c r="F3" s="192"/>
      <c r="G3" s="192"/>
      <c r="H3" s="192"/>
      <c r="I3" s="192"/>
      <c r="J3" s="192"/>
      <c r="K3" s="197"/>
      <c r="L3" s="192"/>
      <c r="M3" s="192"/>
      <c r="N3" s="192"/>
      <c r="O3" s="192"/>
      <c r="P3" s="197" t="s">
        <v>440</v>
      </c>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P3" s="195"/>
      <c r="AQ3" s="195"/>
      <c r="AR3" s="196"/>
      <c r="AS3" s="196"/>
    </row>
    <row r="4" spans="1:45" x14ac:dyDescent="0.2">
      <c r="A4" s="199"/>
      <c r="B4" s="191"/>
      <c r="C4" s="191"/>
      <c r="D4" s="191"/>
      <c r="E4" s="191"/>
      <c r="F4" s="191"/>
      <c r="G4" s="191"/>
      <c r="H4" s="191"/>
      <c r="I4" s="191"/>
      <c r="J4" s="191"/>
      <c r="K4" s="197"/>
      <c r="L4" s="191"/>
      <c r="M4" s="191"/>
      <c r="N4" s="191"/>
      <c r="O4" s="191"/>
      <c r="P4" s="191"/>
      <c r="Q4" s="192"/>
      <c r="R4" s="192"/>
      <c r="S4" s="192"/>
      <c r="T4" s="192"/>
      <c r="U4" s="192"/>
      <c r="V4" s="192"/>
      <c r="W4" s="192"/>
      <c r="X4" s="192"/>
      <c r="Y4" s="192"/>
      <c r="Z4" s="192"/>
      <c r="AA4" s="192"/>
      <c r="AB4" s="192"/>
      <c r="AC4" s="192"/>
      <c r="AD4" s="192"/>
      <c r="AE4" s="192"/>
      <c r="AF4" s="192"/>
      <c r="AG4" s="192"/>
      <c r="AH4" s="192"/>
      <c r="AI4" s="192"/>
      <c r="AJ4" s="192"/>
      <c r="AK4" s="192"/>
      <c r="AL4" s="192"/>
      <c r="AM4" s="192"/>
      <c r="AN4" s="192"/>
      <c r="AO4" s="192"/>
      <c r="AP4" s="195"/>
      <c r="AQ4" s="195"/>
      <c r="AR4" s="196"/>
      <c r="AS4" s="196"/>
    </row>
    <row r="5" spans="1:45" x14ac:dyDescent="0.2">
      <c r="A5" s="345" t="str">
        <f>'1. паспорт местоположение'!A5:C5</f>
        <v>Год раскрытия информации: 2024 год</v>
      </c>
      <c r="B5" s="345"/>
      <c r="C5" s="345"/>
      <c r="D5" s="345"/>
      <c r="E5" s="345"/>
      <c r="F5" s="345"/>
      <c r="G5" s="345"/>
      <c r="H5" s="345"/>
      <c r="I5" s="345"/>
      <c r="J5" s="345"/>
      <c r="K5" s="345"/>
      <c r="L5" s="345"/>
      <c r="M5" s="345"/>
      <c r="N5" s="345"/>
      <c r="O5" s="345"/>
      <c r="P5" s="345"/>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195"/>
      <c r="AQ5" s="195"/>
      <c r="AR5" s="196"/>
      <c r="AS5" s="196"/>
    </row>
    <row r="6" spans="1:45" x14ac:dyDescent="0.2">
      <c r="A6" s="199"/>
      <c r="B6" s="191"/>
      <c r="C6" s="191"/>
      <c r="D6" s="191"/>
      <c r="E6" s="191"/>
      <c r="F6" s="191"/>
      <c r="G6" s="191"/>
      <c r="H6" s="191"/>
      <c r="I6" s="191"/>
      <c r="J6" s="191"/>
      <c r="K6" s="197"/>
      <c r="L6" s="191"/>
      <c r="M6" s="191"/>
      <c r="N6" s="191"/>
      <c r="O6" s="191"/>
      <c r="P6" s="191"/>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c r="AP6" s="195"/>
      <c r="AQ6" s="195"/>
      <c r="AR6" s="196"/>
      <c r="AS6" s="196"/>
    </row>
    <row r="7" spans="1:45" x14ac:dyDescent="0.2">
      <c r="A7" s="345" t="s">
        <v>7</v>
      </c>
      <c r="B7" s="345"/>
      <c r="C7" s="345"/>
      <c r="D7" s="345"/>
      <c r="E7" s="345"/>
      <c r="F7" s="345"/>
      <c r="G7" s="345"/>
      <c r="H7" s="345"/>
      <c r="I7" s="345"/>
      <c r="J7" s="345"/>
      <c r="K7" s="345"/>
      <c r="L7" s="345"/>
      <c r="M7" s="345"/>
      <c r="N7" s="345"/>
      <c r="O7" s="345"/>
      <c r="P7" s="345"/>
      <c r="Q7" s="201"/>
      <c r="R7" s="201"/>
      <c r="S7" s="201"/>
      <c r="T7" s="201"/>
      <c r="U7" s="201"/>
      <c r="V7" s="201"/>
      <c r="W7" s="201"/>
      <c r="X7" s="201"/>
      <c r="Y7" s="201"/>
      <c r="Z7" s="201"/>
      <c r="AA7" s="201"/>
      <c r="AB7" s="201"/>
      <c r="AC7" s="201"/>
      <c r="AD7" s="201"/>
      <c r="AE7" s="201"/>
      <c r="AF7" s="201"/>
      <c r="AG7" s="201"/>
      <c r="AH7" s="201"/>
      <c r="AI7" s="201"/>
      <c r="AJ7" s="201"/>
      <c r="AK7" s="201"/>
      <c r="AL7" s="201"/>
      <c r="AM7" s="201"/>
      <c r="AN7" s="201"/>
      <c r="AO7" s="201"/>
      <c r="AP7" s="195"/>
      <c r="AQ7" s="195"/>
      <c r="AR7" s="196"/>
      <c r="AS7" s="196"/>
    </row>
    <row r="8" spans="1:45" x14ac:dyDescent="0.2">
      <c r="A8" s="202"/>
      <c r="B8" s="202"/>
      <c r="C8" s="202"/>
      <c r="D8" s="202"/>
      <c r="E8" s="202"/>
      <c r="F8" s="202"/>
      <c r="G8" s="202"/>
      <c r="H8" s="202"/>
      <c r="I8" s="202"/>
      <c r="J8" s="202"/>
      <c r="K8" s="202"/>
      <c r="L8" s="200"/>
      <c r="M8" s="200"/>
      <c r="N8" s="200"/>
      <c r="O8" s="200"/>
      <c r="P8" s="200"/>
      <c r="Q8" s="201"/>
      <c r="R8" s="201"/>
      <c r="S8" s="201"/>
      <c r="T8" s="201"/>
      <c r="U8" s="201"/>
      <c r="V8" s="201"/>
      <c r="W8" s="201"/>
      <c r="X8" s="201"/>
      <c r="Y8" s="201"/>
      <c r="Z8" s="192"/>
      <c r="AA8" s="192"/>
      <c r="AB8" s="192"/>
      <c r="AC8" s="192"/>
      <c r="AD8" s="192"/>
      <c r="AE8" s="192"/>
      <c r="AF8" s="192"/>
      <c r="AG8" s="192"/>
      <c r="AH8" s="192"/>
      <c r="AI8" s="192"/>
      <c r="AJ8" s="192"/>
      <c r="AK8" s="192"/>
      <c r="AL8" s="192"/>
      <c r="AM8" s="192"/>
      <c r="AN8" s="192"/>
      <c r="AO8" s="192"/>
      <c r="AP8" s="195"/>
      <c r="AQ8" s="195"/>
      <c r="AR8" s="196"/>
      <c r="AS8" s="196"/>
    </row>
    <row r="9" spans="1:45" x14ac:dyDescent="0.2">
      <c r="A9" s="346" t="str">
        <f>'1. паспорт местоположение'!A9:C9</f>
        <v xml:space="preserve">Акционерное общество "Западная энергетическая компания" </v>
      </c>
      <c r="B9" s="346"/>
      <c r="C9" s="346"/>
      <c r="D9" s="346"/>
      <c r="E9" s="346"/>
      <c r="F9" s="346"/>
      <c r="G9" s="346"/>
      <c r="H9" s="346"/>
      <c r="I9" s="346"/>
      <c r="J9" s="346"/>
      <c r="K9" s="346"/>
      <c r="L9" s="346"/>
      <c r="M9" s="346"/>
      <c r="N9" s="346"/>
      <c r="O9" s="346"/>
      <c r="P9" s="346"/>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195"/>
      <c r="AQ9" s="195"/>
      <c r="AR9" s="196"/>
      <c r="AS9" s="196"/>
    </row>
    <row r="10" spans="1:45" x14ac:dyDescent="0.2">
      <c r="A10" s="344" t="s">
        <v>6</v>
      </c>
      <c r="B10" s="344"/>
      <c r="C10" s="344"/>
      <c r="D10" s="344"/>
      <c r="E10" s="344"/>
      <c r="F10" s="344"/>
      <c r="G10" s="344"/>
      <c r="H10" s="344"/>
      <c r="I10" s="344"/>
      <c r="J10" s="344"/>
      <c r="K10" s="344"/>
      <c r="L10" s="344"/>
      <c r="M10" s="344"/>
      <c r="N10" s="344"/>
      <c r="O10" s="344"/>
      <c r="P10" s="344"/>
      <c r="AD10" s="204"/>
      <c r="AE10" s="204"/>
      <c r="AF10" s="204"/>
      <c r="AG10" s="204"/>
      <c r="AH10" s="204"/>
      <c r="AI10" s="204"/>
      <c r="AJ10" s="204"/>
      <c r="AK10" s="204"/>
      <c r="AL10" s="204"/>
      <c r="AM10" s="204"/>
      <c r="AN10" s="204"/>
      <c r="AO10" s="204"/>
      <c r="AP10" s="195"/>
      <c r="AQ10" s="195"/>
      <c r="AR10" s="196"/>
      <c r="AS10" s="196"/>
    </row>
    <row r="11" spans="1:45" x14ac:dyDescent="0.2">
      <c r="A11" s="202"/>
      <c r="B11" s="202"/>
      <c r="C11" s="202"/>
      <c r="D11" s="202"/>
      <c r="E11" s="202"/>
      <c r="F11" s="202"/>
      <c r="G11" s="202"/>
      <c r="H11" s="202"/>
      <c r="I11" s="202"/>
      <c r="J11" s="202"/>
      <c r="K11" s="202"/>
      <c r="L11" s="200"/>
      <c r="M11" s="200"/>
      <c r="N11" s="200"/>
      <c r="O11" s="200"/>
      <c r="P11" s="200"/>
      <c r="Q11" s="201"/>
      <c r="R11" s="201"/>
      <c r="S11" s="201"/>
      <c r="T11" s="201"/>
      <c r="U11" s="201"/>
      <c r="V11" s="201"/>
      <c r="W11" s="201"/>
      <c r="X11" s="201"/>
      <c r="Y11" s="201"/>
      <c r="Z11" s="192"/>
      <c r="AA11" s="192"/>
      <c r="AB11" s="192"/>
      <c r="AC11" s="192"/>
      <c r="AD11" s="192"/>
      <c r="AE11" s="192"/>
      <c r="AF11" s="192"/>
      <c r="AG11" s="192"/>
      <c r="AH11" s="192"/>
      <c r="AI11" s="192"/>
      <c r="AJ11" s="192"/>
      <c r="AK11" s="192"/>
      <c r="AL11" s="192"/>
      <c r="AM11" s="192"/>
      <c r="AN11" s="192"/>
      <c r="AO11" s="192"/>
      <c r="AP11" s="195"/>
      <c r="AQ11" s="195"/>
      <c r="AR11" s="196"/>
      <c r="AS11" s="196"/>
    </row>
    <row r="12" spans="1:45" x14ac:dyDescent="0.2">
      <c r="A12" s="346" t="str">
        <f>'1. паспорт местоположение'!A12:C12</f>
        <v>J_19-05</v>
      </c>
      <c r="B12" s="346"/>
      <c r="C12" s="346"/>
      <c r="D12" s="346"/>
      <c r="E12" s="346"/>
      <c r="F12" s="346"/>
      <c r="G12" s="346"/>
      <c r="H12" s="346"/>
      <c r="I12" s="346"/>
      <c r="J12" s="346"/>
      <c r="K12" s="346"/>
      <c r="L12" s="346"/>
      <c r="M12" s="346"/>
      <c r="N12" s="346"/>
      <c r="O12" s="346"/>
      <c r="P12" s="346"/>
      <c r="Q12" s="203"/>
      <c r="R12" s="203"/>
      <c r="S12" s="203"/>
      <c r="T12" s="203"/>
      <c r="U12" s="203"/>
      <c r="V12" s="203"/>
      <c r="W12" s="203"/>
      <c r="X12" s="203"/>
      <c r="Y12" s="203"/>
      <c r="Z12" s="203"/>
      <c r="AA12" s="203"/>
      <c r="AB12" s="203"/>
      <c r="AC12" s="203"/>
      <c r="AD12" s="203"/>
      <c r="AE12" s="203"/>
      <c r="AF12" s="203"/>
      <c r="AG12" s="203"/>
      <c r="AH12" s="203"/>
      <c r="AI12" s="203"/>
      <c r="AJ12" s="203"/>
      <c r="AK12" s="203"/>
      <c r="AL12" s="203"/>
      <c r="AM12" s="203"/>
      <c r="AN12" s="203"/>
      <c r="AO12" s="203"/>
      <c r="AP12" s="195"/>
      <c r="AQ12" s="195"/>
      <c r="AR12" s="196"/>
      <c r="AS12" s="196"/>
    </row>
    <row r="13" spans="1:45" x14ac:dyDescent="0.2">
      <c r="A13" s="344" t="s">
        <v>5</v>
      </c>
      <c r="B13" s="344"/>
      <c r="C13" s="344"/>
      <c r="D13" s="344"/>
      <c r="E13" s="344"/>
      <c r="F13" s="344"/>
      <c r="G13" s="344"/>
      <c r="H13" s="344"/>
      <c r="I13" s="344"/>
      <c r="J13" s="344"/>
      <c r="K13" s="344"/>
      <c r="L13" s="344"/>
      <c r="M13" s="344"/>
      <c r="N13" s="344"/>
      <c r="O13" s="344"/>
      <c r="P13" s="344"/>
      <c r="AD13" s="204"/>
      <c r="AE13" s="204"/>
      <c r="AF13" s="204"/>
      <c r="AG13" s="204"/>
      <c r="AH13" s="204"/>
      <c r="AI13" s="204"/>
      <c r="AJ13" s="204"/>
      <c r="AK13" s="204"/>
      <c r="AL13" s="204"/>
      <c r="AM13" s="204"/>
      <c r="AN13" s="204"/>
      <c r="AO13" s="204"/>
      <c r="AP13" s="195"/>
      <c r="AQ13" s="195"/>
      <c r="AR13" s="196"/>
      <c r="AS13" s="196"/>
    </row>
    <row r="14" spans="1:45" x14ac:dyDescent="0.2">
      <c r="A14" s="205"/>
      <c r="B14" s="205"/>
      <c r="C14" s="205"/>
      <c r="D14" s="205"/>
      <c r="E14" s="205"/>
      <c r="F14" s="205"/>
      <c r="G14" s="205"/>
      <c r="H14" s="205"/>
      <c r="I14" s="205"/>
      <c r="J14" s="205"/>
      <c r="K14" s="205"/>
      <c r="L14" s="205"/>
      <c r="M14" s="205"/>
      <c r="N14" s="205"/>
      <c r="O14" s="205"/>
      <c r="P14" s="205"/>
      <c r="Q14" s="206"/>
      <c r="R14" s="206"/>
      <c r="S14" s="206"/>
      <c r="T14" s="206"/>
      <c r="U14" s="206"/>
      <c r="V14" s="206"/>
      <c r="W14" s="206"/>
      <c r="X14" s="206"/>
      <c r="Y14" s="206"/>
      <c r="Z14" s="192"/>
      <c r="AA14" s="192"/>
      <c r="AB14" s="192"/>
      <c r="AC14" s="192"/>
      <c r="AD14" s="192"/>
      <c r="AE14" s="192"/>
      <c r="AF14" s="192"/>
      <c r="AG14" s="192"/>
      <c r="AH14" s="192"/>
      <c r="AI14" s="192"/>
      <c r="AJ14" s="192"/>
      <c r="AK14" s="192"/>
      <c r="AL14" s="192"/>
      <c r="AM14" s="192"/>
      <c r="AN14" s="192"/>
      <c r="AO14" s="192"/>
      <c r="AP14" s="195"/>
      <c r="AQ14" s="195"/>
      <c r="AR14" s="196"/>
      <c r="AS14" s="196"/>
    </row>
    <row r="15" spans="1:45" x14ac:dyDescent="0.2">
      <c r="A15" s="351"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5" s="351"/>
      <c r="C15" s="351"/>
      <c r="D15" s="351"/>
      <c r="E15" s="351"/>
      <c r="F15" s="351"/>
      <c r="G15" s="351"/>
      <c r="H15" s="351"/>
      <c r="I15" s="351"/>
      <c r="J15" s="351"/>
      <c r="K15" s="351"/>
      <c r="L15" s="351"/>
      <c r="M15" s="351"/>
      <c r="N15" s="351"/>
      <c r="O15" s="351"/>
      <c r="P15" s="351"/>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c r="AN15" s="207"/>
      <c r="AO15" s="207"/>
      <c r="AP15" s="195"/>
      <c r="AQ15" s="195"/>
      <c r="AR15" s="196"/>
      <c r="AS15" s="196"/>
    </row>
    <row r="16" spans="1:45" x14ac:dyDescent="0.2">
      <c r="A16" s="352" t="s">
        <v>4</v>
      </c>
      <c r="B16" s="352"/>
      <c r="C16" s="352"/>
      <c r="D16" s="352"/>
      <c r="E16" s="352"/>
      <c r="F16" s="352"/>
      <c r="G16" s="352"/>
      <c r="H16" s="352"/>
      <c r="I16" s="352"/>
      <c r="J16" s="352"/>
      <c r="K16" s="352"/>
      <c r="L16" s="352"/>
      <c r="M16" s="352"/>
      <c r="N16" s="352"/>
      <c r="O16" s="352"/>
      <c r="P16" s="352"/>
      <c r="AD16" s="204"/>
      <c r="AE16" s="204"/>
      <c r="AF16" s="204"/>
      <c r="AG16" s="204"/>
      <c r="AH16" s="204"/>
      <c r="AI16" s="204"/>
      <c r="AJ16" s="204"/>
      <c r="AK16" s="204"/>
      <c r="AL16" s="204"/>
      <c r="AM16" s="204"/>
      <c r="AN16" s="204"/>
      <c r="AO16" s="204"/>
      <c r="AP16" s="195"/>
      <c r="AQ16" s="195"/>
      <c r="AR16" s="196"/>
      <c r="AS16" s="196"/>
    </row>
    <row r="17" spans="1:45" x14ac:dyDescent="0.2">
      <c r="A17" s="206"/>
      <c r="B17" s="206"/>
      <c r="C17" s="206"/>
      <c r="D17" s="206"/>
      <c r="E17" s="206"/>
      <c r="F17" s="206"/>
      <c r="G17" s="206"/>
      <c r="H17" s="206"/>
      <c r="I17" s="206"/>
      <c r="J17" s="206"/>
      <c r="K17" s="206"/>
      <c r="L17" s="206"/>
      <c r="M17" s="206"/>
      <c r="N17" s="206"/>
      <c r="O17" s="206"/>
      <c r="P17" s="206"/>
      <c r="Q17" s="206"/>
      <c r="R17" s="206"/>
      <c r="S17" s="206"/>
      <c r="T17" s="206"/>
      <c r="U17" s="206"/>
      <c r="V17" s="206"/>
      <c r="W17" s="208"/>
      <c r="X17" s="208"/>
      <c r="Y17" s="208"/>
      <c r="Z17" s="208"/>
      <c r="AA17" s="208"/>
      <c r="AB17" s="208"/>
      <c r="AC17" s="208"/>
      <c r="AD17" s="208"/>
      <c r="AE17" s="208"/>
      <c r="AF17" s="208"/>
      <c r="AG17" s="208"/>
      <c r="AH17" s="208"/>
      <c r="AI17" s="208"/>
      <c r="AJ17" s="208"/>
      <c r="AK17" s="208"/>
      <c r="AL17" s="208"/>
      <c r="AM17" s="208"/>
      <c r="AN17" s="208"/>
      <c r="AO17" s="208"/>
      <c r="AP17" s="195"/>
      <c r="AQ17" s="195"/>
      <c r="AR17" s="196"/>
      <c r="AS17" s="196"/>
    </row>
    <row r="18" spans="1:45" x14ac:dyDescent="0.2">
      <c r="A18" s="353" t="s">
        <v>390</v>
      </c>
      <c r="B18" s="353"/>
      <c r="C18" s="353"/>
      <c r="D18" s="353"/>
      <c r="E18" s="353"/>
      <c r="F18" s="353"/>
      <c r="G18" s="353"/>
      <c r="H18" s="353"/>
      <c r="I18" s="353"/>
      <c r="J18" s="353"/>
      <c r="K18" s="353"/>
      <c r="L18" s="353"/>
      <c r="M18" s="353"/>
      <c r="N18" s="353"/>
      <c r="O18" s="353"/>
      <c r="P18" s="353"/>
      <c r="Q18" s="203"/>
      <c r="R18" s="203"/>
      <c r="S18" s="203"/>
      <c r="T18" s="203"/>
      <c r="U18" s="203"/>
      <c r="V18" s="203"/>
      <c r="W18" s="203"/>
      <c r="X18" s="203"/>
      <c r="Y18" s="203"/>
      <c r="Z18" s="203"/>
      <c r="AA18" s="203"/>
      <c r="AB18" s="203"/>
      <c r="AC18" s="203"/>
      <c r="AD18" s="203"/>
      <c r="AE18" s="203"/>
      <c r="AF18" s="203"/>
      <c r="AG18" s="203"/>
      <c r="AH18" s="203"/>
      <c r="AI18" s="203"/>
      <c r="AJ18" s="203"/>
      <c r="AK18" s="203"/>
      <c r="AL18" s="203"/>
      <c r="AM18" s="203"/>
      <c r="AN18" s="203"/>
      <c r="AO18" s="203"/>
      <c r="AP18" s="195"/>
      <c r="AQ18" s="195"/>
      <c r="AR18" s="196"/>
      <c r="AS18" s="196"/>
    </row>
    <row r="19" spans="1:45" x14ac:dyDescent="0.2">
      <c r="A19" s="209"/>
      <c r="B19" s="209"/>
      <c r="C19" s="209"/>
      <c r="D19" s="209"/>
      <c r="E19" s="209"/>
      <c r="F19" s="209"/>
      <c r="G19" s="209"/>
      <c r="H19" s="209"/>
      <c r="I19" s="209"/>
      <c r="J19" s="209"/>
      <c r="K19" s="209"/>
      <c r="L19" s="209"/>
      <c r="M19" s="209"/>
      <c r="N19" s="209"/>
      <c r="O19" s="209"/>
      <c r="P19" s="209"/>
      <c r="Q19" s="203"/>
      <c r="R19" s="203"/>
      <c r="S19" s="203"/>
      <c r="T19" s="203"/>
      <c r="U19" s="203"/>
      <c r="V19" s="203"/>
      <c r="W19" s="203"/>
      <c r="X19" s="203"/>
      <c r="Y19" s="203"/>
      <c r="Z19" s="203"/>
      <c r="AA19" s="203"/>
      <c r="AB19" s="203"/>
      <c r="AC19" s="203"/>
      <c r="AD19" s="203"/>
      <c r="AE19" s="203"/>
      <c r="AF19" s="203"/>
      <c r="AG19" s="203"/>
      <c r="AH19" s="203"/>
      <c r="AI19" s="203"/>
      <c r="AJ19" s="203"/>
      <c r="AK19" s="203"/>
      <c r="AL19" s="203"/>
      <c r="AM19" s="203"/>
      <c r="AN19" s="203"/>
      <c r="AO19" s="203"/>
      <c r="AP19" s="195"/>
      <c r="AQ19" s="195"/>
      <c r="AR19" s="196"/>
      <c r="AS19" s="196"/>
    </row>
    <row r="20" spans="1:45" x14ac:dyDescent="0.2">
      <c r="A20" s="209"/>
      <c r="B20" s="209"/>
      <c r="C20" s="209"/>
      <c r="D20" s="209"/>
      <c r="E20" s="209"/>
      <c r="F20" s="209"/>
      <c r="G20" s="209"/>
      <c r="H20" s="209"/>
      <c r="I20" s="209"/>
      <c r="J20" s="209"/>
      <c r="K20" s="209"/>
      <c r="L20" s="209"/>
      <c r="M20" s="209"/>
      <c r="N20" s="209"/>
      <c r="O20" s="209"/>
      <c r="P20" s="209"/>
      <c r="Q20" s="203"/>
      <c r="R20" s="203"/>
      <c r="S20" s="203"/>
      <c r="T20" s="203"/>
      <c r="U20" s="203"/>
      <c r="V20" s="203"/>
      <c r="W20" s="203"/>
      <c r="X20" s="203"/>
      <c r="Y20" s="203"/>
      <c r="Z20" s="203"/>
      <c r="AA20" s="203"/>
      <c r="AB20" s="203"/>
      <c r="AC20" s="203"/>
      <c r="AD20" s="203"/>
      <c r="AE20" s="203"/>
      <c r="AF20" s="203"/>
      <c r="AG20" s="203"/>
      <c r="AH20" s="203"/>
      <c r="AI20" s="203"/>
      <c r="AJ20" s="203"/>
      <c r="AK20" s="203"/>
      <c r="AL20" s="203"/>
      <c r="AM20" s="203"/>
      <c r="AN20" s="203"/>
      <c r="AO20" s="203"/>
      <c r="AP20" s="195"/>
      <c r="AQ20" s="195"/>
      <c r="AR20" s="196"/>
      <c r="AS20" s="196"/>
    </row>
    <row r="21" spans="1:45" x14ac:dyDescent="0.2">
      <c r="A21" s="210"/>
      <c r="N21" s="204"/>
      <c r="AP21" s="195"/>
      <c r="AQ21" s="195"/>
      <c r="AR21" s="196"/>
      <c r="AS21" s="196"/>
    </row>
    <row r="22" spans="1:45" x14ac:dyDescent="0.2">
      <c r="A22" s="201"/>
      <c r="N22" s="204"/>
      <c r="AP22" s="195"/>
      <c r="AQ22" s="195"/>
      <c r="AR22" s="196"/>
      <c r="AS22" s="196"/>
    </row>
    <row r="23" spans="1:45" ht="13.5" thickBot="1" x14ac:dyDescent="0.25">
      <c r="A23" s="211" t="s">
        <v>287</v>
      </c>
      <c r="B23" s="211" t="s">
        <v>1</v>
      </c>
      <c r="D23" s="212"/>
      <c r="N23" s="204"/>
    </row>
    <row r="24" spans="1:45" ht="15" x14ac:dyDescent="0.2">
      <c r="A24" s="213" t="s">
        <v>426</v>
      </c>
      <c r="B24" s="88">
        <v>74132649.709572941</v>
      </c>
      <c r="N24" s="204"/>
    </row>
    <row r="25" spans="1:45" x14ac:dyDescent="0.2">
      <c r="A25" s="214" t="s">
        <v>285</v>
      </c>
      <c r="B25" s="215">
        <v>0</v>
      </c>
      <c r="N25" s="204"/>
    </row>
    <row r="26" spans="1:45" x14ac:dyDescent="0.2">
      <c r="A26" s="216" t="s">
        <v>283</v>
      </c>
      <c r="B26" s="215">
        <v>30</v>
      </c>
      <c r="D26" s="201" t="s">
        <v>286</v>
      </c>
      <c r="N26" s="204"/>
    </row>
    <row r="27" spans="1:45" ht="13.5" thickBot="1" x14ac:dyDescent="0.25">
      <c r="A27" s="217" t="s">
        <v>281</v>
      </c>
      <c r="B27" s="218">
        <v>1</v>
      </c>
      <c r="D27" s="347" t="s">
        <v>284</v>
      </c>
      <c r="E27" s="348"/>
      <c r="F27" s="349"/>
      <c r="G27" s="219" t="str">
        <f>IF(SUM(B89:AG89)=0,"не окупается",SUM(B89:AG89))</f>
        <v>не окупается</v>
      </c>
      <c r="H27" s="220"/>
      <c r="N27" s="204"/>
    </row>
    <row r="28" spans="1:45" ht="15" x14ac:dyDescent="0.2">
      <c r="A28" s="213" t="s">
        <v>280</v>
      </c>
      <c r="B28" s="185">
        <f>B24*0.001</f>
        <v>74132.649709572943</v>
      </c>
      <c r="D28" s="347" t="s">
        <v>282</v>
      </c>
      <c r="E28" s="348"/>
      <c r="F28" s="349"/>
      <c r="G28" s="219" t="str">
        <f>IF(SUM(B90:AG90)=0,"не окупается",SUM(B90:AG90))</f>
        <v>не окупается</v>
      </c>
      <c r="H28" s="220"/>
      <c r="N28" s="204"/>
    </row>
    <row r="29" spans="1:45" x14ac:dyDescent="0.2">
      <c r="A29" s="216" t="s">
        <v>427</v>
      </c>
      <c r="B29" s="215">
        <v>6</v>
      </c>
      <c r="D29" s="347" t="s">
        <v>591</v>
      </c>
      <c r="E29" s="348"/>
      <c r="F29" s="349"/>
      <c r="G29" s="221">
        <f>M87</f>
        <v>-84435124.786386684</v>
      </c>
      <c r="H29" s="222"/>
      <c r="N29" s="204"/>
    </row>
    <row r="30" spans="1:45" x14ac:dyDescent="0.2">
      <c r="A30" s="216" t="s">
        <v>279</v>
      </c>
      <c r="B30" s="215">
        <v>6</v>
      </c>
      <c r="D30" s="347"/>
      <c r="E30" s="348"/>
      <c r="F30" s="349"/>
      <c r="G30" s="223"/>
      <c r="H30" s="224"/>
      <c r="N30" s="204"/>
    </row>
    <row r="31" spans="1:45" x14ac:dyDescent="0.2">
      <c r="A31" s="216" t="s">
        <v>258</v>
      </c>
      <c r="B31" s="215">
        <v>0</v>
      </c>
      <c r="N31" s="204"/>
    </row>
    <row r="32" spans="1:45" x14ac:dyDescent="0.2">
      <c r="A32" s="216" t="s">
        <v>278</v>
      </c>
      <c r="B32" s="215">
        <v>1</v>
      </c>
      <c r="N32" s="204"/>
    </row>
    <row r="33" spans="1:31" x14ac:dyDescent="0.2">
      <c r="A33" s="216" t="s">
        <v>277</v>
      </c>
      <c r="B33" s="215">
        <v>1</v>
      </c>
      <c r="N33" s="204"/>
    </row>
    <row r="34" spans="1:31" x14ac:dyDescent="0.2">
      <c r="A34" s="225" t="s">
        <v>592</v>
      </c>
      <c r="B34" s="215">
        <f>B24*0.03</f>
        <v>2223979.4912871881</v>
      </c>
      <c r="N34" s="204"/>
    </row>
    <row r="35" spans="1:31" ht="13.5" thickBot="1" x14ac:dyDescent="0.25">
      <c r="A35" s="217" t="s">
        <v>252</v>
      </c>
      <c r="B35" s="226">
        <v>0.2</v>
      </c>
      <c r="N35" s="204"/>
    </row>
    <row r="36" spans="1:31" x14ac:dyDescent="0.2">
      <c r="A36" s="213" t="s">
        <v>428</v>
      </c>
      <c r="B36" s="227">
        <v>0</v>
      </c>
      <c r="N36" s="204"/>
    </row>
    <row r="37" spans="1:31" x14ac:dyDescent="0.2">
      <c r="A37" s="216" t="s">
        <v>276</v>
      </c>
      <c r="B37" s="215"/>
      <c r="N37" s="204"/>
    </row>
    <row r="38" spans="1:31" ht="13.5" thickBot="1" x14ac:dyDescent="0.25">
      <c r="A38" s="225" t="s">
        <v>275</v>
      </c>
      <c r="B38" s="228"/>
      <c r="N38" s="204"/>
    </row>
    <row r="39" spans="1:31" x14ac:dyDescent="0.2">
      <c r="A39" s="229" t="s">
        <v>429</v>
      </c>
      <c r="B39" s="230">
        <v>1</v>
      </c>
      <c r="N39" s="204"/>
    </row>
    <row r="40" spans="1:31" x14ac:dyDescent="0.2">
      <c r="A40" s="231" t="s">
        <v>274</v>
      </c>
      <c r="B40" s="232"/>
      <c r="N40" s="204"/>
    </row>
    <row r="41" spans="1:31" x14ac:dyDescent="0.2">
      <c r="A41" s="231" t="s">
        <v>273</v>
      </c>
      <c r="B41" s="233"/>
      <c r="N41" s="204"/>
    </row>
    <row r="42" spans="1:31" x14ac:dyDescent="0.2">
      <c r="A42" s="231" t="s">
        <v>272</v>
      </c>
      <c r="B42" s="233">
        <v>0</v>
      </c>
      <c r="N42" s="204"/>
    </row>
    <row r="43" spans="1:31" x14ac:dyDescent="0.2">
      <c r="A43" s="231" t="s">
        <v>271</v>
      </c>
      <c r="B43" s="234">
        <v>0.2</v>
      </c>
      <c r="N43" s="204"/>
    </row>
    <row r="44" spans="1:31" x14ac:dyDescent="0.2">
      <c r="A44" s="231" t="s">
        <v>270</v>
      </c>
      <c r="B44" s="235">
        <v>1</v>
      </c>
      <c r="N44" s="204"/>
    </row>
    <row r="45" spans="1:31" ht="13.5" thickBot="1" x14ac:dyDescent="0.25">
      <c r="A45" s="236" t="s">
        <v>593</v>
      </c>
      <c r="B45" s="235">
        <f>B44*B43+B42*B41*(1-B35)</f>
        <v>0.2</v>
      </c>
      <c r="C45" s="237"/>
      <c r="N45" s="204"/>
    </row>
    <row r="46" spans="1:31" x14ac:dyDescent="0.2">
      <c r="A46" s="238" t="s">
        <v>269</v>
      </c>
      <c r="B46" s="239">
        <v>1</v>
      </c>
      <c r="C46" s="239">
        <v>2</v>
      </c>
      <c r="D46" s="239">
        <v>3</v>
      </c>
      <c r="E46" s="239">
        <v>4</v>
      </c>
      <c r="F46" s="239">
        <v>5</v>
      </c>
      <c r="G46" s="239">
        <v>6</v>
      </c>
      <c r="H46" s="239">
        <v>7</v>
      </c>
      <c r="I46" s="239">
        <v>8</v>
      </c>
      <c r="J46" s="239">
        <v>9</v>
      </c>
      <c r="K46" s="239">
        <v>10</v>
      </c>
      <c r="L46" s="239">
        <v>11</v>
      </c>
      <c r="M46" s="239">
        <v>12</v>
      </c>
      <c r="N46" s="239">
        <v>13</v>
      </c>
      <c r="O46" s="239">
        <v>14</v>
      </c>
      <c r="P46" s="239">
        <v>15</v>
      </c>
      <c r="Q46" s="239">
        <v>16</v>
      </c>
      <c r="R46" s="239">
        <v>17</v>
      </c>
      <c r="S46" s="239">
        <v>18</v>
      </c>
      <c r="T46" s="239">
        <v>19</v>
      </c>
      <c r="U46" s="239">
        <v>20</v>
      </c>
      <c r="V46" s="239">
        <v>21</v>
      </c>
      <c r="W46" s="239">
        <v>22</v>
      </c>
      <c r="X46" s="239">
        <v>23</v>
      </c>
      <c r="Y46" s="239">
        <v>24</v>
      </c>
      <c r="Z46" s="239">
        <v>25</v>
      </c>
      <c r="AA46" s="239">
        <v>26</v>
      </c>
      <c r="AB46" s="239">
        <v>27</v>
      </c>
      <c r="AC46" s="240">
        <v>28</v>
      </c>
      <c r="AD46" s="240">
        <v>29</v>
      </c>
      <c r="AE46" s="240">
        <v>30</v>
      </c>
    </row>
    <row r="47" spans="1:31" x14ac:dyDescent="0.2">
      <c r="A47" s="241" t="s">
        <v>268</v>
      </c>
      <c r="B47" s="276">
        <v>0.14631427330593999</v>
      </c>
      <c r="C47" s="276">
        <v>6.9688748240430004E-2</v>
      </c>
      <c r="D47" s="276">
        <v>5.2726091890100003E-2</v>
      </c>
      <c r="E47" s="276">
        <v>4.7619843182130001E-2</v>
      </c>
      <c r="F47" s="276">
        <v>4.57995653007E-2</v>
      </c>
      <c r="G47" s="276">
        <v>4.57995653007E-2</v>
      </c>
      <c r="H47" s="276">
        <v>4.57995653007E-2</v>
      </c>
      <c r="I47" s="276">
        <v>4.57995653007E-2</v>
      </c>
      <c r="J47" s="276">
        <v>4.57995653007E-2</v>
      </c>
      <c r="K47" s="276">
        <v>4.57995653007E-2</v>
      </c>
      <c r="L47" s="276">
        <v>4.57995653007E-2</v>
      </c>
      <c r="M47" s="276">
        <v>4.57995653007E-2</v>
      </c>
      <c r="N47" s="276">
        <v>4.57995653007E-2</v>
      </c>
      <c r="O47" s="276">
        <v>4.57995653007E-2</v>
      </c>
      <c r="P47" s="276">
        <v>4.57995653007E-2</v>
      </c>
      <c r="Q47" s="276">
        <v>4.57995653007E-2</v>
      </c>
      <c r="R47" s="276">
        <v>4.57995653007E-2</v>
      </c>
      <c r="S47" s="276">
        <v>4.57995653007E-2</v>
      </c>
      <c r="T47" s="276">
        <v>4.57995653007E-2</v>
      </c>
      <c r="U47" s="276">
        <v>4.57995653007E-2</v>
      </c>
      <c r="V47" s="276">
        <v>4.57995653007E-2</v>
      </c>
      <c r="W47" s="276">
        <v>4.57995653007E-2</v>
      </c>
      <c r="X47" s="276">
        <v>4.57995653007E-2</v>
      </c>
      <c r="Y47" s="276">
        <v>4.57995653007E-2</v>
      </c>
      <c r="Z47" s="276">
        <v>4.57995653007E-2</v>
      </c>
      <c r="AA47" s="276">
        <v>4.57995653007E-2</v>
      </c>
      <c r="AB47" s="276">
        <v>4.57995653007E-2</v>
      </c>
      <c r="AC47" s="276">
        <v>4.57995653007E-2</v>
      </c>
      <c r="AD47" s="276">
        <v>4.57995653007E-2</v>
      </c>
      <c r="AE47" s="276">
        <v>4.57995653007E-2</v>
      </c>
    </row>
    <row r="48" spans="1:31" x14ac:dyDescent="0.2">
      <c r="A48" s="241" t="s">
        <v>267</v>
      </c>
      <c r="B48" s="242">
        <f>B47</f>
        <v>0.14631427330593999</v>
      </c>
      <c r="C48" s="242">
        <f t="shared" ref="C48:AE48" si="0">(1+B48)*(1+C47)-1</f>
        <v>0.22619948010276913</v>
      </c>
      <c r="D48" s="242">
        <f t="shared" si="0"/>
        <v>0.29085218656626055</v>
      </c>
      <c r="E48" s="242">
        <f t="shared" si="0"/>
        <v>0.35232236526185545</v>
      </c>
      <c r="F48" s="242">
        <f t="shared" si="0"/>
        <v>0.41425814173726283</v>
      </c>
      <c r="G48" s="242">
        <f t="shared" si="0"/>
        <v>0.47903054985180527</v>
      </c>
      <c r="H48" s="242">
        <f t="shared" si="0"/>
        <v>0.54676950610147323</v>
      </c>
      <c r="I48" s="242">
        <f t="shared" si="0"/>
        <v>0.61761087710129914</v>
      </c>
      <c r="J48" s="242">
        <f t="shared" si="0"/>
        <v>0.69169675209822268</v>
      </c>
      <c r="K48" s="242">
        <f t="shared" si="0"/>
        <v>0.76917572796492717</v>
      </c>
      <c r="L48" s="242">
        <f t="shared" si="0"/>
        <v>0.85020320724627019</v>
      </c>
      <c r="M48" s="242">
        <f t="shared" si="0"/>
        <v>0.93494170985611014</v>
      </c>
      <c r="N48" s="242">
        <f t="shared" si="0"/>
        <v>1.0235611990497131</v>
      </c>
      <c r="O48" s="242">
        <f t="shared" si="0"/>
        <v>1.116239422325553</v>
      </c>
      <c r="P48" s="242">
        <f t="shared" si="0"/>
        <v>1.2131622679402678</v>
      </c>
      <c r="Q48" s="242">
        <f t="shared" si="0"/>
        <v>1.3145241377518433</v>
      </c>
      <c r="R48" s="242">
        <f t="shared" si="0"/>
        <v>1.4205283371388551</v>
      </c>
      <c r="S48" s="242">
        <f t="shared" si="0"/>
        <v>1.5313874827778409</v>
      </c>
      <c r="T48" s="242">
        <f t="shared" si="0"/>
        <v>1.6473239290966992</v>
      </c>
      <c r="U48" s="242">
        <f t="shared" si="0"/>
        <v>1.7685702142594693</v>
      </c>
      <c r="V48" s="242">
        <f t="shared" si="0"/>
        <v>1.8953695265770185</v>
      </c>
      <c r="W48" s="242">
        <f t="shared" si="0"/>
        <v>2.0279761922791395</v>
      </c>
      <c r="X48" s="242">
        <f t="shared" si="0"/>
        <v>2.1666561856263926</v>
      </c>
      <c r="Y48" s="242">
        <f t="shared" si="0"/>
        <v>2.3116876623848541</v>
      </c>
      <c r="Z48" s="242">
        <f t="shared" si="0"/>
        <v>2.4633615177337718</v>
      </c>
      <c r="AA48" s="242">
        <f t="shared" si="0"/>
        <v>2.6219819697251507</v>
      </c>
      <c r="AB48" s="242">
        <f t="shared" si="0"/>
        <v>2.7878671694655357</v>
      </c>
      <c r="AC48" s="242">
        <f t="shared" si="0"/>
        <v>2.9613498392438502</v>
      </c>
      <c r="AD48" s="242">
        <f t="shared" si="0"/>
        <v>3.1427779398852165</v>
      </c>
      <c r="AE48" s="242">
        <f t="shared" si="0"/>
        <v>3.3325153686692888</v>
      </c>
    </row>
    <row r="49" spans="1:31" ht="13.5" thickBot="1" x14ac:dyDescent="0.25">
      <c r="A49" s="243" t="s">
        <v>430</v>
      </c>
      <c r="B49" s="244">
        <f>B24*1.2/2*0</f>
        <v>0</v>
      </c>
      <c r="C49" s="244">
        <v>0</v>
      </c>
      <c r="D49" s="244">
        <v>0</v>
      </c>
      <c r="E49" s="244">
        <v>0</v>
      </c>
      <c r="F49" s="244">
        <v>0</v>
      </c>
      <c r="G49" s="244">
        <v>0</v>
      </c>
      <c r="H49" s="244">
        <v>0</v>
      </c>
      <c r="I49" s="244">
        <v>0</v>
      </c>
      <c r="J49" s="244">
        <v>0</v>
      </c>
      <c r="K49" s="244">
        <v>0</v>
      </c>
      <c r="L49" s="244">
        <v>0</v>
      </c>
      <c r="M49" s="244">
        <v>0</v>
      </c>
      <c r="N49" s="244">
        <v>0</v>
      </c>
      <c r="O49" s="244">
        <v>0</v>
      </c>
      <c r="P49" s="244">
        <v>0</v>
      </c>
      <c r="Q49" s="244">
        <v>0</v>
      </c>
      <c r="R49" s="244">
        <v>0</v>
      </c>
      <c r="S49" s="244">
        <v>0</v>
      </c>
      <c r="T49" s="244">
        <v>0</v>
      </c>
      <c r="U49" s="244">
        <v>0</v>
      </c>
      <c r="V49" s="244">
        <v>0</v>
      </c>
      <c r="W49" s="244">
        <v>0</v>
      </c>
      <c r="X49" s="244">
        <v>0</v>
      </c>
      <c r="Y49" s="244">
        <v>0</v>
      </c>
      <c r="Z49" s="244">
        <v>0</v>
      </c>
      <c r="AA49" s="244">
        <v>0</v>
      </c>
      <c r="AB49" s="244">
        <v>0</v>
      </c>
      <c r="AC49" s="244">
        <v>0</v>
      </c>
      <c r="AD49" s="244">
        <v>0</v>
      </c>
      <c r="AE49" s="244">
        <v>0</v>
      </c>
    </row>
    <row r="50" spans="1:31" ht="13.5" thickBot="1" x14ac:dyDescent="0.25">
      <c r="A50" s="245"/>
      <c r="N50" s="204"/>
      <c r="AC50" s="246"/>
      <c r="AD50" s="246"/>
      <c r="AE50" s="246"/>
    </row>
    <row r="51" spans="1:31" x14ac:dyDescent="0.2">
      <c r="A51" s="247" t="s">
        <v>266</v>
      </c>
      <c r="B51" s="239">
        <v>1</v>
      </c>
      <c r="C51" s="239">
        <v>2</v>
      </c>
      <c r="D51" s="239">
        <v>3</v>
      </c>
      <c r="E51" s="239">
        <v>4</v>
      </c>
      <c r="F51" s="239">
        <v>5</v>
      </c>
      <c r="G51" s="239">
        <v>6</v>
      </c>
      <c r="H51" s="239">
        <v>7</v>
      </c>
      <c r="I51" s="239">
        <v>8</v>
      </c>
      <c r="J51" s="239">
        <v>9</v>
      </c>
      <c r="K51" s="239">
        <v>10</v>
      </c>
      <c r="L51" s="239">
        <v>11</v>
      </c>
      <c r="M51" s="239">
        <v>12</v>
      </c>
      <c r="N51" s="239">
        <v>13</v>
      </c>
      <c r="O51" s="239">
        <v>14</v>
      </c>
      <c r="P51" s="239">
        <v>15</v>
      </c>
      <c r="Q51" s="239">
        <v>16</v>
      </c>
      <c r="R51" s="239">
        <v>17</v>
      </c>
      <c r="S51" s="239">
        <v>18</v>
      </c>
      <c r="T51" s="239">
        <v>19</v>
      </c>
      <c r="U51" s="239">
        <v>20</v>
      </c>
      <c r="V51" s="239">
        <v>21</v>
      </c>
      <c r="W51" s="239">
        <v>22</v>
      </c>
      <c r="X51" s="239">
        <v>23</v>
      </c>
      <c r="Y51" s="239">
        <v>24</v>
      </c>
      <c r="Z51" s="239">
        <v>25</v>
      </c>
      <c r="AA51" s="239">
        <v>26</v>
      </c>
      <c r="AB51" s="239">
        <v>27</v>
      </c>
      <c r="AC51" s="239">
        <v>28</v>
      </c>
      <c r="AD51" s="239">
        <v>29</v>
      </c>
      <c r="AE51" s="239">
        <v>30</v>
      </c>
    </row>
    <row r="52" spans="1:31" x14ac:dyDescent="0.2">
      <c r="A52" s="241" t="s">
        <v>265</v>
      </c>
      <c r="B52" s="248">
        <v>0</v>
      </c>
      <c r="C52" s="248">
        <v>0</v>
      </c>
      <c r="D52" s="248">
        <v>0</v>
      </c>
      <c r="E52" s="248">
        <v>0</v>
      </c>
      <c r="F52" s="248">
        <v>0</v>
      </c>
      <c r="G52" s="248">
        <v>0</v>
      </c>
      <c r="H52" s="248">
        <v>0</v>
      </c>
      <c r="I52" s="248">
        <v>0</v>
      </c>
      <c r="J52" s="248">
        <v>0</v>
      </c>
      <c r="K52" s="248">
        <v>0</v>
      </c>
      <c r="L52" s="248">
        <v>0</v>
      </c>
      <c r="M52" s="248">
        <v>0</v>
      </c>
      <c r="N52" s="248">
        <v>0</v>
      </c>
      <c r="O52" s="248">
        <v>0</v>
      </c>
      <c r="P52" s="248">
        <v>0</v>
      </c>
      <c r="Q52" s="248">
        <v>0</v>
      </c>
      <c r="R52" s="248">
        <v>0</v>
      </c>
      <c r="S52" s="248">
        <v>0</v>
      </c>
      <c r="T52" s="248">
        <v>0</v>
      </c>
      <c r="U52" s="248">
        <v>0</v>
      </c>
      <c r="V52" s="248">
        <v>0</v>
      </c>
      <c r="W52" s="248">
        <v>0</v>
      </c>
      <c r="X52" s="248">
        <v>0</v>
      </c>
      <c r="Y52" s="248">
        <v>0</v>
      </c>
      <c r="Z52" s="248">
        <v>0</v>
      </c>
      <c r="AA52" s="248">
        <v>0</v>
      </c>
      <c r="AB52" s="248">
        <v>0</v>
      </c>
      <c r="AC52" s="249">
        <v>0</v>
      </c>
      <c r="AD52" s="249">
        <v>0</v>
      </c>
      <c r="AE52" s="249">
        <v>0</v>
      </c>
    </row>
    <row r="53" spans="1:31" x14ac:dyDescent="0.2">
      <c r="A53" s="241" t="s">
        <v>264</v>
      </c>
      <c r="B53" s="248">
        <v>0</v>
      </c>
      <c r="C53" s="248">
        <v>0</v>
      </c>
      <c r="D53" s="248">
        <v>0</v>
      </c>
      <c r="E53" s="248">
        <v>0</v>
      </c>
      <c r="F53" s="248">
        <v>0</v>
      </c>
      <c r="G53" s="248">
        <v>0</v>
      </c>
      <c r="H53" s="248">
        <v>0</v>
      </c>
      <c r="I53" s="248">
        <v>0</v>
      </c>
      <c r="J53" s="248">
        <v>0</v>
      </c>
      <c r="K53" s="248">
        <v>0</v>
      </c>
      <c r="L53" s="248">
        <v>0</v>
      </c>
      <c r="M53" s="248">
        <v>0</v>
      </c>
      <c r="N53" s="248">
        <v>0</v>
      </c>
      <c r="O53" s="248">
        <v>0</v>
      </c>
      <c r="P53" s="248">
        <v>0</v>
      </c>
      <c r="Q53" s="248">
        <v>0</v>
      </c>
      <c r="R53" s="248">
        <v>0</v>
      </c>
      <c r="S53" s="248">
        <v>0</v>
      </c>
      <c r="T53" s="248">
        <v>0</v>
      </c>
      <c r="U53" s="248">
        <v>0</v>
      </c>
      <c r="V53" s="248">
        <v>0</v>
      </c>
      <c r="W53" s="248">
        <v>0</v>
      </c>
      <c r="X53" s="248">
        <v>0</v>
      </c>
      <c r="Y53" s="248">
        <v>0</v>
      </c>
      <c r="Z53" s="248">
        <v>0</v>
      </c>
      <c r="AA53" s="248">
        <v>0</v>
      </c>
      <c r="AB53" s="248">
        <v>0</v>
      </c>
      <c r="AC53" s="249">
        <v>0</v>
      </c>
      <c r="AD53" s="249">
        <v>0</v>
      </c>
      <c r="AE53" s="249">
        <v>0</v>
      </c>
    </row>
    <row r="54" spans="1:31" x14ac:dyDescent="0.2">
      <c r="A54" s="241" t="s">
        <v>263</v>
      </c>
      <c r="B54" s="248">
        <v>0</v>
      </c>
      <c r="C54" s="248">
        <v>0</v>
      </c>
      <c r="D54" s="248">
        <v>0</v>
      </c>
      <c r="E54" s="248">
        <v>0</v>
      </c>
      <c r="F54" s="248">
        <v>0</v>
      </c>
      <c r="G54" s="248">
        <v>0</v>
      </c>
      <c r="H54" s="248">
        <v>0</v>
      </c>
      <c r="I54" s="248">
        <v>0</v>
      </c>
      <c r="J54" s="248">
        <v>0</v>
      </c>
      <c r="K54" s="248">
        <v>0</v>
      </c>
      <c r="L54" s="248">
        <v>0</v>
      </c>
      <c r="M54" s="248">
        <v>0</v>
      </c>
      <c r="N54" s="248">
        <v>0</v>
      </c>
      <c r="O54" s="248">
        <v>0</v>
      </c>
      <c r="P54" s="248">
        <v>0</v>
      </c>
      <c r="Q54" s="248">
        <v>0</v>
      </c>
      <c r="R54" s="248">
        <v>0</v>
      </c>
      <c r="S54" s="248">
        <v>0</v>
      </c>
      <c r="T54" s="248">
        <v>0</v>
      </c>
      <c r="U54" s="248">
        <v>0</v>
      </c>
      <c r="V54" s="248">
        <v>0</v>
      </c>
      <c r="W54" s="248">
        <v>0</v>
      </c>
      <c r="X54" s="248">
        <v>0</v>
      </c>
      <c r="Y54" s="248">
        <v>0</v>
      </c>
      <c r="Z54" s="248">
        <v>0</v>
      </c>
      <c r="AA54" s="248">
        <v>0</v>
      </c>
      <c r="AB54" s="248">
        <v>0</v>
      </c>
      <c r="AC54" s="249">
        <v>0</v>
      </c>
      <c r="AD54" s="249">
        <v>0</v>
      </c>
      <c r="AE54" s="249">
        <v>0</v>
      </c>
    </row>
    <row r="55" spans="1:31" ht="13.5" thickBot="1" x14ac:dyDescent="0.25">
      <c r="A55" s="243" t="s">
        <v>262</v>
      </c>
      <c r="B55" s="250">
        <v>0</v>
      </c>
      <c r="C55" s="250">
        <v>0</v>
      </c>
      <c r="D55" s="250">
        <v>0</v>
      </c>
      <c r="E55" s="250">
        <v>0</v>
      </c>
      <c r="F55" s="250">
        <v>0</v>
      </c>
      <c r="G55" s="250">
        <v>0</v>
      </c>
      <c r="H55" s="250">
        <v>0</v>
      </c>
      <c r="I55" s="250">
        <v>0</v>
      </c>
      <c r="J55" s="250">
        <v>0</v>
      </c>
      <c r="K55" s="250">
        <v>0</v>
      </c>
      <c r="L55" s="250">
        <v>0</v>
      </c>
      <c r="M55" s="250">
        <v>0</v>
      </c>
      <c r="N55" s="250">
        <v>0</v>
      </c>
      <c r="O55" s="250">
        <v>0</v>
      </c>
      <c r="P55" s="250">
        <v>0</v>
      </c>
      <c r="Q55" s="250">
        <v>0</v>
      </c>
      <c r="R55" s="250">
        <v>0</v>
      </c>
      <c r="S55" s="250">
        <v>0</v>
      </c>
      <c r="T55" s="250">
        <v>0</v>
      </c>
      <c r="U55" s="250">
        <v>0</v>
      </c>
      <c r="V55" s="250">
        <v>0</v>
      </c>
      <c r="W55" s="250">
        <v>0</v>
      </c>
      <c r="X55" s="250">
        <v>0</v>
      </c>
      <c r="Y55" s="250">
        <v>0</v>
      </c>
      <c r="Z55" s="250">
        <v>0</v>
      </c>
      <c r="AA55" s="250">
        <v>0</v>
      </c>
      <c r="AB55" s="250">
        <v>0</v>
      </c>
      <c r="AC55" s="251">
        <v>0</v>
      </c>
      <c r="AD55" s="251">
        <v>0</v>
      </c>
      <c r="AE55" s="251">
        <v>0</v>
      </c>
    </row>
    <row r="56" spans="1:31" ht="13.5" thickBot="1" x14ac:dyDescent="0.25">
      <c r="A56" s="245"/>
      <c r="B56" s="252"/>
      <c r="C56" s="252"/>
      <c r="D56" s="252"/>
      <c r="E56" s="252"/>
      <c r="F56" s="252"/>
      <c r="G56" s="252"/>
      <c r="H56" s="252"/>
      <c r="I56" s="252"/>
      <c r="J56" s="252"/>
      <c r="K56" s="252"/>
      <c r="L56" s="252"/>
      <c r="M56" s="252"/>
      <c r="N56" s="252"/>
      <c r="O56" s="252"/>
      <c r="P56" s="252"/>
      <c r="Q56" s="252"/>
      <c r="R56" s="252"/>
      <c r="S56" s="252"/>
      <c r="T56" s="252"/>
      <c r="U56" s="252"/>
      <c r="V56" s="252"/>
      <c r="W56" s="252"/>
      <c r="X56" s="252"/>
      <c r="Y56" s="252"/>
      <c r="Z56" s="252"/>
      <c r="AA56" s="252"/>
      <c r="AB56" s="252"/>
      <c r="AC56" s="253"/>
      <c r="AD56" s="253"/>
      <c r="AE56" s="253"/>
    </row>
    <row r="57" spans="1:31" ht="13.5" thickBot="1" x14ac:dyDescent="0.25">
      <c r="A57" s="247" t="s">
        <v>431</v>
      </c>
      <c r="B57" s="239">
        <v>1</v>
      </c>
      <c r="C57" s="239">
        <v>2</v>
      </c>
      <c r="D57" s="239">
        <v>3</v>
      </c>
      <c r="E57" s="239">
        <v>4</v>
      </c>
      <c r="F57" s="239">
        <v>5</v>
      </c>
      <c r="G57" s="239">
        <v>6</v>
      </c>
      <c r="H57" s="239">
        <v>7</v>
      </c>
      <c r="I57" s="239">
        <v>8</v>
      </c>
      <c r="J57" s="239">
        <v>9</v>
      </c>
      <c r="K57" s="239">
        <v>10</v>
      </c>
      <c r="L57" s="239">
        <v>11</v>
      </c>
      <c r="M57" s="239">
        <v>12</v>
      </c>
      <c r="N57" s="239">
        <v>13</v>
      </c>
      <c r="O57" s="239">
        <v>14</v>
      </c>
      <c r="P57" s="239">
        <v>15</v>
      </c>
      <c r="Q57" s="239">
        <v>16</v>
      </c>
      <c r="R57" s="239">
        <v>17</v>
      </c>
      <c r="S57" s="239">
        <v>18</v>
      </c>
      <c r="T57" s="239">
        <v>19</v>
      </c>
      <c r="U57" s="239">
        <v>20</v>
      </c>
      <c r="V57" s="239">
        <v>21</v>
      </c>
      <c r="W57" s="239">
        <v>22</v>
      </c>
      <c r="X57" s="239">
        <v>23</v>
      </c>
      <c r="Y57" s="239">
        <v>24</v>
      </c>
      <c r="Z57" s="239">
        <v>25</v>
      </c>
      <c r="AA57" s="239">
        <v>26</v>
      </c>
      <c r="AB57" s="239">
        <v>27</v>
      </c>
      <c r="AC57" s="239">
        <v>28</v>
      </c>
      <c r="AD57" s="239">
        <v>29</v>
      </c>
      <c r="AE57" s="239">
        <v>30</v>
      </c>
    </row>
    <row r="58" spans="1:31" x14ac:dyDescent="0.2">
      <c r="A58" s="247" t="s">
        <v>261</v>
      </c>
      <c r="B58" s="239">
        <f t="shared" ref="B58:AE58" si="1">B49*$B$27</f>
        <v>0</v>
      </c>
      <c r="C58" s="239">
        <f t="shared" si="1"/>
        <v>0</v>
      </c>
      <c r="D58" s="239">
        <f t="shared" si="1"/>
        <v>0</v>
      </c>
      <c r="E58" s="239">
        <f t="shared" si="1"/>
        <v>0</v>
      </c>
      <c r="F58" s="239">
        <f t="shared" si="1"/>
        <v>0</v>
      </c>
      <c r="G58" s="239">
        <f t="shared" si="1"/>
        <v>0</v>
      </c>
      <c r="H58" s="239">
        <f t="shared" si="1"/>
        <v>0</v>
      </c>
      <c r="I58" s="239">
        <f t="shared" si="1"/>
        <v>0</v>
      </c>
      <c r="J58" s="239">
        <f t="shared" si="1"/>
        <v>0</v>
      </c>
      <c r="K58" s="239">
        <f t="shared" si="1"/>
        <v>0</v>
      </c>
      <c r="L58" s="239">
        <f t="shared" si="1"/>
        <v>0</v>
      </c>
      <c r="M58" s="239">
        <f t="shared" si="1"/>
        <v>0</v>
      </c>
      <c r="N58" s="239">
        <f t="shared" si="1"/>
        <v>0</v>
      </c>
      <c r="O58" s="239">
        <f t="shared" si="1"/>
        <v>0</v>
      </c>
      <c r="P58" s="239">
        <f t="shared" si="1"/>
        <v>0</v>
      </c>
      <c r="Q58" s="239">
        <f t="shared" si="1"/>
        <v>0</v>
      </c>
      <c r="R58" s="239">
        <f t="shared" si="1"/>
        <v>0</v>
      </c>
      <c r="S58" s="239">
        <f t="shared" si="1"/>
        <v>0</v>
      </c>
      <c r="T58" s="239">
        <f t="shared" si="1"/>
        <v>0</v>
      </c>
      <c r="U58" s="239">
        <f t="shared" si="1"/>
        <v>0</v>
      </c>
      <c r="V58" s="239">
        <f t="shared" si="1"/>
        <v>0</v>
      </c>
      <c r="W58" s="239">
        <f t="shared" si="1"/>
        <v>0</v>
      </c>
      <c r="X58" s="239">
        <f t="shared" si="1"/>
        <v>0</v>
      </c>
      <c r="Y58" s="239">
        <f t="shared" si="1"/>
        <v>0</v>
      </c>
      <c r="Z58" s="239">
        <f t="shared" si="1"/>
        <v>0</v>
      </c>
      <c r="AA58" s="239">
        <f t="shared" si="1"/>
        <v>0</v>
      </c>
      <c r="AB58" s="239">
        <f t="shared" si="1"/>
        <v>0</v>
      </c>
      <c r="AC58" s="239">
        <f t="shared" si="1"/>
        <v>0</v>
      </c>
      <c r="AD58" s="239">
        <f t="shared" si="1"/>
        <v>0</v>
      </c>
      <c r="AE58" s="239">
        <f t="shared" si="1"/>
        <v>0</v>
      </c>
    </row>
    <row r="59" spans="1:31" x14ac:dyDescent="0.2">
      <c r="A59" s="241" t="s">
        <v>260</v>
      </c>
      <c r="B59" s="254">
        <f t="shared" ref="B59:AE59" si="2">SUM(B60:B65)</f>
        <v>0</v>
      </c>
      <c r="C59" s="254">
        <f t="shared" si="2"/>
        <v>0</v>
      </c>
      <c r="D59" s="254">
        <f t="shared" si="2"/>
        <v>0</v>
      </c>
      <c r="E59" s="254">
        <f>SUM(E60:E65)</f>
        <v>-1576554.3504902511</v>
      </c>
      <c r="F59" s="254">
        <f t="shared" si="2"/>
        <v>-1522190.4073698977</v>
      </c>
      <c r="G59" s="254">
        <f t="shared" si="2"/>
        <v>-1467826.4642495441</v>
      </c>
      <c r="H59" s="254">
        <f t="shared" si="2"/>
        <v>-1413462.5211291907</v>
      </c>
      <c r="I59" s="254">
        <f t="shared" si="2"/>
        <v>-1433231.2277184101</v>
      </c>
      <c r="J59" s="254">
        <f t="shared" si="2"/>
        <v>-1304734.6348884837</v>
      </c>
      <c r="K59" s="254">
        <f t="shared" si="2"/>
        <v>-3919146.0813127561</v>
      </c>
      <c r="L59" s="254">
        <f t="shared" si="2"/>
        <v>-1196006.7486477767</v>
      </c>
      <c r="M59" s="254">
        <f t="shared" si="2"/>
        <v>-1141642.8055274233</v>
      </c>
      <c r="N59" s="254">
        <f t="shared" si="2"/>
        <v>-1087278.8624070697</v>
      </c>
      <c r="O59" s="254">
        <f t="shared" si="2"/>
        <v>-2303054.3176440662</v>
      </c>
      <c r="P59" s="254">
        <f t="shared" si="2"/>
        <v>-978550.97616636276</v>
      </c>
      <c r="Q59" s="254">
        <f t="shared" si="2"/>
        <v>-924187.03304600925</v>
      </c>
      <c r="R59" s="254">
        <f t="shared" si="2"/>
        <v>-869823.08992565575</v>
      </c>
      <c r="S59" s="254">
        <f t="shared" si="2"/>
        <v>-3484234.536349928</v>
      </c>
      <c r="T59" s="254">
        <f t="shared" si="2"/>
        <v>-761095.20368494885</v>
      </c>
      <c r="U59" s="254">
        <f t="shared" si="2"/>
        <v>-780863.91027416824</v>
      </c>
      <c r="V59" s="254">
        <f t="shared" si="2"/>
        <v>-652367.31744424184</v>
      </c>
      <c r="W59" s="254">
        <f t="shared" si="2"/>
        <v>-598003.37432388833</v>
      </c>
      <c r="X59" s="254">
        <f t="shared" si="2"/>
        <v>-543639.43120353483</v>
      </c>
      <c r="Y59" s="254">
        <f t="shared" si="2"/>
        <v>-489275.48808318138</v>
      </c>
      <c r="Z59" s="254">
        <f t="shared" si="2"/>
        <v>-434911.54496282787</v>
      </c>
      <c r="AA59" s="254">
        <f t="shared" si="2"/>
        <v>-3049322.9913871</v>
      </c>
      <c r="AB59" s="254">
        <f t="shared" si="2"/>
        <v>-326183.65872212092</v>
      </c>
      <c r="AC59" s="254">
        <f t="shared" si="2"/>
        <v>-271819.71560176741</v>
      </c>
      <c r="AD59" s="254">
        <f t="shared" si="2"/>
        <v>-217455.77248141394</v>
      </c>
      <c r="AE59" s="254">
        <f t="shared" si="2"/>
        <v>-163091.82936106046</v>
      </c>
    </row>
    <row r="60" spans="1:31" x14ac:dyDescent="0.2">
      <c r="A60" s="255" t="s">
        <v>259</v>
      </c>
      <c r="B60" s="248"/>
      <c r="C60" s="248"/>
      <c r="D60" s="248"/>
      <c r="E60" s="248"/>
      <c r="F60" s="248"/>
      <c r="G60" s="248"/>
      <c r="H60" s="248"/>
      <c r="I60" s="248">
        <f>-B28</f>
        <v>-74132.649709572943</v>
      </c>
      <c r="J60" s="248"/>
      <c r="K60" s="248"/>
      <c r="L60" s="248"/>
      <c r="M60" s="248"/>
      <c r="N60" s="248"/>
      <c r="O60" s="248">
        <f>I60</f>
        <v>-74132.649709572943</v>
      </c>
      <c r="P60" s="248"/>
      <c r="Q60" s="248"/>
      <c r="R60" s="248"/>
      <c r="S60" s="248"/>
      <c r="T60" s="248"/>
      <c r="U60" s="248">
        <f>O60</f>
        <v>-74132.649709572943</v>
      </c>
      <c r="V60" s="248"/>
      <c r="W60" s="248"/>
      <c r="X60" s="248"/>
      <c r="Y60" s="248"/>
      <c r="Z60" s="248"/>
      <c r="AA60" s="248"/>
      <c r="AB60" s="248"/>
      <c r="AC60" s="248"/>
      <c r="AD60" s="248"/>
      <c r="AE60" s="248"/>
    </row>
    <row r="61" spans="1:31" x14ac:dyDescent="0.2">
      <c r="A61" s="255" t="s">
        <v>258</v>
      </c>
      <c r="B61" s="248"/>
      <c r="C61" s="248"/>
      <c r="D61" s="248"/>
      <c r="E61" s="248"/>
      <c r="F61" s="248"/>
      <c r="G61" s="248"/>
      <c r="H61" s="248"/>
      <c r="I61" s="248"/>
      <c r="J61" s="248"/>
      <c r="K61" s="248">
        <f>-B34*1.2</f>
        <v>-2668775.3895446258</v>
      </c>
      <c r="L61" s="248"/>
      <c r="M61" s="248"/>
      <c r="N61" s="248"/>
      <c r="O61" s="248"/>
      <c r="P61" s="248"/>
      <c r="Q61" s="248"/>
      <c r="R61" s="248"/>
      <c r="S61" s="248">
        <f>K61</f>
        <v>-2668775.3895446258</v>
      </c>
      <c r="T61" s="248"/>
      <c r="U61" s="248"/>
      <c r="V61" s="248"/>
      <c r="W61" s="248"/>
      <c r="X61" s="248"/>
      <c r="Y61" s="248"/>
      <c r="Z61" s="248"/>
      <c r="AA61" s="256">
        <f>S61</f>
        <v>-2668775.3895446258</v>
      </c>
      <c r="AB61" s="248"/>
      <c r="AC61" s="248"/>
      <c r="AD61" s="248"/>
      <c r="AE61" s="248"/>
    </row>
    <row r="62" spans="1:31" x14ac:dyDescent="0.2">
      <c r="A62" s="255" t="s">
        <v>592</v>
      </c>
      <c r="B62" s="248"/>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row>
    <row r="63" spans="1:31" x14ac:dyDescent="0.2">
      <c r="A63" s="255" t="s">
        <v>428</v>
      </c>
      <c r="B63" s="257">
        <v>0</v>
      </c>
      <c r="C63" s="257">
        <v>0</v>
      </c>
      <c r="D63" s="257">
        <v>0</v>
      </c>
      <c r="E63" s="257">
        <v>0</v>
      </c>
      <c r="F63" s="257">
        <v>0</v>
      </c>
      <c r="G63" s="257">
        <v>0</v>
      </c>
      <c r="H63" s="257">
        <v>0</v>
      </c>
      <c r="I63" s="257">
        <v>0</v>
      </c>
      <c r="J63" s="257">
        <v>0</v>
      </c>
      <c r="K63" s="257">
        <v>0</v>
      </c>
      <c r="L63" s="257">
        <v>0</v>
      </c>
      <c r="M63" s="257">
        <v>0</v>
      </c>
      <c r="N63" s="257">
        <v>0</v>
      </c>
      <c r="O63" s="257">
        <v>0</v>
      </c>
      <c r="P63" s="257">
        <v>0</v>
      </c>
      <c r="Q63" s="257">
        <v>0</v>
      </c>
      <c r="R63" s="257">
        <v>0</v>
      </c>
      <c r="S63" s="257">
        <v>0</v>
      </c>
      <c r="T63" s="257">
        <v>0</v>
      </c>
      <c r="U63" s="257">
        <v>0</v>
      </c>
      <c r="V63" s="257">
        <v>0</v>
      </c>
      <c r="W63" s="257">
        <v>0</v>
      </c>
      <c r="X63" s="257">
        <v>0</v>
      </c>
      <c r="Y63" s="257">
        <v>0</v>
      </c>
      <c r="Z63" s="257">
        <v>0</v>
      </c>
      <c r="AA63" s="257">
        <v>0</v>
      </c>
      <c r="AB63" s="257">
        <v>0</v>
      </c>
      <c r="AC63" s="257">
        <v>0</v>
      </c>
      <c r="AD63" s="257">
        <v>0</v>
      </c>
      <c r="AE63" s="257">
        <v>0</v>
      </c>
    </row>
    <row r="64" spans="1:31" x14ac:dyDescent="0.2">
      <c r="A64" s="255" t="s">
        <v>428</v>
      </c>
      <c r="B64" s="257">
        <v>0</v>
      </c>
      <c r="C64" s="257">
        <v>0</v>
      </c>
      <c r="D64" s="257">
        <v>0</v>
      </c>
      <c r="E64" s="257">
        <v>0</v>
      </c>
      <c r="F64" s="257">
        <v>0</v>
      </c>
      <c r="G64" s="257">
        <v>0</v>
      </c>
      <c r="H64" s="257">
        <v>0</v>
      </c>
      <c r="I64" s="257">
        <v>0</v>
      </c>
      <c r="J64" s="257">
        <v>0</v>
      </c>
      <c r="K64" s="257">
        <v>0</v>
      </c>
      <c r="L64" s="257">
        <v>0</v>
      </c>
      <c r="M64" s="257">
        <v>0</v>
      </c>
      <c r="N64" s="257">
        <v>0</v>
      </c>
      <c r="O64" s="257">
        <v>0</v>
      </c>
      <c r="P64" s="257">
        <v>0</v>
      </c>
      <c r="Q64" s="257">
        <v>0</v>
      </c>
      <c r="R64" s="257">
        <v>0</v>
      </c>
      <c r="S64" s="257">
        <v>0</v>
      </c>
      <c r="T64" s="257">
        <v>0</v>
      </c>
      <c r="U64" s="257">
        <v>0</v>
      </c>
      <c r="V64" s="257">
        <v>0</v>
      </c>
      <c r="W64" s="257">
        <v>0</v>
      </c>
      <c r="X64" s="257">
        <v>0</v>
      </c>
      <c r="Y64" s="257">
        <v>0</v>
      </c>
      <c r="Z64" s="257">
        <v>0</v>
      </c>
      <c r="AA64" s="257">
        <v>0</v>
      </c>
      <c r="AB64" s="257">
        <v>0</v>
      </c>
      <c r="AC64" s="257">
        <v>0</v>
      </c>
      <c r="AD64" s="257">
        <v>0</v>
      </c>
      <c r="AE64" s="257">
        <v>0</v>
      </c>
    </row>
    <row r="65" spans="1:31" x14ac:dyDescent="0.2">
      <c r="A65" s="255" t="s">
        <v>594</v>
      </c>
      <c r="B65" s="257">
        <v>0</v>
      </c>
      <c r="C65" s="257">
        <v>0</v>
      </c>
      <c r="D65" s="257">
        <v>0</v>
      </c>
      <c r="E65" s="257">
        <f>-($B$24+E67)*0.022</f>
        <v>-1576554.3504902511</v>
      </c>
      <c r="F65" s="257">
        <f>-($B$24+F67+E67)*0.022</f>
        <v>-1522190.4073698977</v>
      </c>
      <c r="G65" s="261">
        <f>-($B$24+G67+E67+F67)*0.022</f>
        <v>-1467826.4642495441</v>
      </c>
      <c r="H65" s="261">
        <f>-($B$24+H67+F67+G67+E67)*0.022</f>
        <v>-1413462.5211291907</v>
      </c>
      <c r="I65" s="261">
        <f>-($B$24+I67+G67+H67+F67+E67)*0.022</f>
        <v>-1359098.5780088371</v>
      </c>
      <c r="J65" s="261">
        <f>-($B$24+J67+H67+I67+G67+E67+F67)*0.022</f>
        <v>-1304734.6348884837</v>
      </c>
      <c r="K65" s="261">
        <f>-($B$24+E67+K67+I67+J67+H67+F67+G67)*0.022</f>
        <v>-1250370.6917681303</v>
      </c>
      <c r="L65" s="261">
        <f>-($B$24+F67+L67+J67+K67+I67+G67+H67+E67)*0.022</f>
        <v>-1196006.7486477767</v>
      </c>
      <c r="M65" s="261">
        <f>-($B$24+G67+M67+K67+L67+J67+H67+I67+E67+F67)*0.022</f>
        <v>-1141642.8055274233</v>
      </c>
      <c r="N65" s="261">
        <f>-($B$24+H67+N67+L67+M67+K67+I67+J67+G67+F67+E67)*0.022</f>
        <v>-1087278.8624070697</v>
      </c>
      <c r="O65" s="261">
        <f>(-$B$24+I67+O67+M67+N67+L67+J67+K67+H67+G67+F67+E67)*0.022</f>
        <v>-2228921.6679344932</v>
      </c>
      <c r="P65" s="261">
        <f>-($B$24+J67+P67+N67+O67+M67+K67+L67+I67+H67+G67+E67+F67)*0.022</f>
        <v>-978550.97616636276</v>
      </c>
      <c r="Q65" s="261">
        <f>-($B$24+K67+Q67+O67+P67+N67+L67+M67+J67+I67+H67+F67+E67+G67)*0.022</f>
        <v>-924187.03304600925</v>
      </c>
      <c r="R65" s="261">
        <f>-($B$24+L67+R67+P67+Q67+O67+M67+N67+K67+J67+I67+G67+H67+E67+F67)*0.022</f>
        <v>-869823.08992565575</v>
      </c>
      <c r="S65" s="261">
        <f>-($B$24+M67+S67+Q67+R67+P67+N67+O67+L67+K67+J67+H67+I67+F67+E67+G67)*0.022</f>
        <v>-815459.14680530236</v>
      </c>
      <c r="T65" s="261">
        <f>-($B$24+N67+T67+R67+S67+Q67+O67+P67+M67+L67+K67+I67+J67+G67+F67+E67+H67)*0.022</f>
        <v>-761095.20368494885</v>
      </c>
      <c r="U65" s="261">
        <f>-($B$24+O67+U67+S67+T67+R67+P67+Q67+N67+M67+L67+J67+K67+H67+G67+F67+E67+I67)*0.022</f>
        <v>-706731.26056459534</v>
      </c>
      <c r="V65" s="261">
        <f>-($B$24+P67+V67+T67+U67+S67+Q67+R67+O67+N67+M67+K67+L67+I67+H67+G67+F67+E67+J67)*0.022</f>
        <v>-652367.31744424184</v>
      </c>
      <c r="W65" s="261">
        <f>-($B$24+Q67+W67+U67+V67+T67+R67+S67+P67+O67+N67+L67+M67+J67+I67+H67+G67+E67+F67++K67)*0.022</f>
        <v>-598003.37432388833</v>
      </c>
      <c r="X65" s="261">
        <f>-($B$24+R67+X67+V67+W67+U67+S67+T67+Q67+P67+O67+M67+N67+K67+J67+I67+H67+F67+G67+E67+L67)*0.022</f>
        <v>-543639.43120353483</v>
      </c>
      <c r="Y65" s="261">
        <f>-($B$24+S67+Y67+W67+X67+V67+T67+U67+R67+Q67+P67+N67+O67+L67+K67+J67+I67+G67+H67+F67+E67+M67)*0.022</f>
        <v>-489275.48808318138</v>
      </c>
      <c r="Z65" s="261">
        <f>-($B$24+T67+Z67+X67+Y67+W67+U67+V67+S67+R67+Q67+O67+P67+M67+L67+K67+J67+H67+I67+G67+F67+E67+N67)*0.022</f>
        <v>-434911.54496282787</v>
      </c>
      <c r="AA65" s="261">
        <f>-($B$24+U67+AA67+Y67+Z67+X67+V67+W67+T67+S67+R67+P67+Q67+N67+M67+L67+K67+I67+J67+H67+G67+F67+E67+O67)*0.022</f>
        <v>-380547.60184247443</v>
      </c>
      <c r="AB65" s="261">
        <f>-($B$24+V67+AB67+Z67+AA67+Y67+W67+X67+U67+T67+S67+Q67+R67+O67+N67+M67+L67+J67+K67+I67+H67+G67+F67+E67+P67)*0.022</f>
        <v>-326183.65872212092</v>
      </c>
      <c r="AC65" s="261">
        <f>-($B$24+W67+AC67+AA67+AB67+Z67+X67+Y67+V67+U67+T67+R67+S67+P67+O67+N67+M67+K67+L67+J67+I67+H67+G67+F67+E67+Q67)*0.022</f>
        <v>-271819.71560176741</v>
      </c>
      <c r="AD65" s="261">
        <f>-($B$24+X67+AD67+AB67+AC67+AA67+Y67+Z67+W67+V67+U67+S67+T67+Q67+P67+O67+N67+L67+M67+K67+J67+I67+H67+G67+F67+E67+R67)*0.022</f>
        <v>-217455.77248141394</v>
      </c>
      <c r="AE65" s="261">
        <f>-($B$24+Y67+AE67+AC67+AD67+AB67+Z67+AA67+X67+W67+V67+T67+U67+R67+Q67+P67+O67+M67+N67+L67+K67+J67+I67+H67+G67+F67+E67+S67)*0.022</f>
        <v>-163091.82936106046</v>
      </c>
    </row>
    <row r="66" spans="1:31" x14ac:dyDescent="0.2">
      <c r="A66" s="258" t="s">
        <v>595</v>
      </c>
      <c r="B66" s="259">
        <f t="shared" ref="B66:AE66" si="3">B58+B59</f>
        <v>0</v>
      </c>
      <c r="C66" s="259">
        <f t="shared" si="3"/>
        <v>0</v>
      </c>
      <c r="D66" s="259">
        <f t="shared" si="3"/>
        <v>0</v>
      </c>
      <c r="E66" s="259">
        <f t="shared" si="3"/>
        <v>-1576554.3504902511</v>
      </c>
      <c r="F66" s="259">
        <f t="shared" si="3"/>
        <v>-1522190.4073698977</v>
      </c>
      <c r="G66" s="259">
        <f t="shared" si="3"/>
        <v>-1467826.4642495441</v>
      </c>
      <c r="H66" s="259">
        <f t="shared" si="3"/>
        <v>-1413462.5211291907</v>
      </c>
      <c r="I66" s="259">
        <f t="shared" si="3"/>
        <v>-1433231.2277184101</v>
      </c>
      <c r="J66" s="259">
        <f t="shared" si="3"/>
        <v>-1304734.6348884837</v>
      </c>
      <c r="K66" s="259">
        <f t="shared" si="3"/>
        <v>-3919146.0813127561</v>
      </c>
      <c r="L66" s="259">
        <f t="shared" si="3"/>
        <v>-1196006.7486477767</v>
      </c>
      <c r="M66" s="259">
        <f t="shared" si="3"/>
        <v>-1141642.8055274233</v>
      </c>
      <c r="N66" s="259">
        <f t="shared" si="3"/>
        <v>-1087278.8624070697</v>
      </c>
      <c r="O66" s="259">
        <f t="shared" si="3"/>
        <v>-2303054.3176440662</v>
      </c>
      <c r="P66" s="259">
        <f t="shared" si="3"/>
        <v>-978550.97616636276</v>
      </c>
      <c r="Q66" s="259">
        <f t="shared" si="3"/>
        <v>-924187.03304600925</v>
      </c>
      <c r="R66" s="259">
        <f t="shared" si="3"/>
        <v>-869823.08992565575</v>
      </c>
      <c r="S66" s="259">
        <f t="shared" si="3"/>
        <v>-3484234.536349928</v>
      </c>
      <c r="T66" s="259">
        <f t="shared" si="3"/>
        <v>-761095.20368494885</v>
      </c>
      <c r="U66" s="259">
        <f t="shared" si="3"/>
        <v>-780863.91027416824</v>
      </c>
      <c r="V66" s="259">
        <f t="shared" si="3"/>
        <v>-652367.31744424184</v>
      </c>
      <c r="W66" s="259">
        <f t="shared" si="3"/>
        <v>-598003.37432388833</v>
      </c>
      <c r="X66" s="259">
        <f t="shared" si="3"/>
        <v>-543639.43120353483</v>
      </c>
      <c r="Y66" s="259">
        <f t="shared" si="3"/>
        <v>-489275.48808318138</v>
      </c>
      <c r="Z66" s="259">
        <f t="shared" si="3"/>
        <v>-434911.54496282787</v>
      </c>
      <c r="AA66" s="259">
        <f t="shared" si="3"/>
        <v>-3049322.9913871</v>
      </c>
      <c r="AB66" s="259">
        <f t="shared" si="3"/>
        <v>-326183.65872212092</v>
      </c>
      <c r="AC66" s="259">
        <f t="shared" si="3"/>
        <v>-271819.71560176741</v>
      </c>
      <c r="AD66" s="259">
        <f t="shared" si="3"/>
        <v>-217455.77248141394</v>
      </c>
      <c r="AE66" s="259">
        <f t="shared" si="3"/>
        <v>-163091.82936106046</v>
      </c>
    </row>
    <row r="67" spans="1:31" x14ac:dyDescent="0.2">
      <c r="A67" s="255" t="s">
        <v>254</v>
      </c>
      <c r="B67" s="260">
        <v>0</v>
      </c>
      <c r="C67" s="261">
        <v>0</v>
      </c>
      <c r="D67" s="260">
        <v>0</v>
      </c>
      <c r="E67" s="277">
        <f>-($B$24)*$B$27/$B$26</f>
        <v>-2471088.3236524314</v>
      </c>
      <c r="F67" s="261">
        <f t="shared" ref="F67:AE67" si="4">E67</f>
        <v>-2471088.3236524314</v>
      </c>
      <c r="G67" s="261">
        <f t="shared" si="4"/>
        <v>-2471088.3236524314</v>
      </c>
      <c r="H67" s="261">
        <f t="shared" si="4"/>
        <v>-2471088.3236524314</v>
      </c>
      <c r="I67" s="261">
        <f t="shared" si="4"/>
        <v>-2471088.3236524314</v>
      </c>
      <c r="J67" s="261">
        <f t="shared" si="4"/>
        <v>-2471088.3236524314</v>
      </c>
      <c r="K67" s="261">
        <f t="shared" si="4"/>
        <v>-2471088.3236524314</v>
      </c>
      <c r="L67" s="261">
        <f t="shared" si="4"/>
        <v>-2471088.3236524314</v>
      </c>
      <c r="M67" s="261">
        <f t="shared" si="4"/>
        <v>-2471088.3236524314</v>
      </c>
      <c r="N67" s="261">
        <f t="shared" si="4"/>
        <v>-2471088.3236524314</v>
      </c>
      <c r="O67" s="261">
        <f t="shared" si="4"/>
        <v>-2471088.3236524314</v>
      </c>
      <c r="P67" s="261">
        <f t="shared" si="4"/>
        <v>-2471088.3236524314</v>
      </c>
      <c r="Q67" s="261">
        <f t="shared" si="4"/>
        <v>-2471088.3236524314</v>
      </c>
      <c r="R67" s="261">
        <f t="shared" si="4"/>
        <v>-2471088.3236524314</v>
      </c>
      <c r="S67" s="261">
        <f t="shared" si="4"/>
        <v>-2471088.3236524314</v>
      </c>
      <c r="T67" s="261">
        <f t="shared" si="4"/>
        <v>-2471088.3236524314</v>
      </c>
      <c r="U67" s="261">
        <f t="shared" si="4"/>
        <v>-2471088.3236524314</v>
      </c>
      <c r="V67" s="261">
        <f t="shared" si="4"/>
        <v>-2471088.3236524314</v>
      </c>
      <c r="W67" s="261">
        <f t="shared" si="4"/>
        <v>-2471088.3236524314</v>
      </c>
      <c r="X67" s="261">
        <f t="shared" si="4"/>
        <v>-2471088.3236524314</v>
      </c>
      <c r="Y67" s="261">
        <f t="shared" si="4"/>
        <v>-2471088.3236524314</v>
      </c>
      <c r="Z67" s="261">
        <f t="shared" si="4"/>
        <v>-2471088.3236524314</v>
      </c>
      <c r="AA67" s="261">
        <f t="shared" si="4"/>
        <v>-2471088.3236524314</v>
      </c>
      <c r="AB67" s="261">
        <f t="shared" si="4"/>
        <v>-2471088.3236524314</v>
      </c>
      <c r="AC67" s="261">
        <f t="shared" si="4"/>
        <v>-2471088.3236524314</v>
      </c>
      <c r="AD67" s="261">
        <f t="shared" si="4"/>
        <v>-2471088.3236524314</v>
      </c>
      <c r="AE67" s="261">
        <f t="shared" si="4"/>
        <v>-2471088.3236524314</v>
      </c>
    </row>
    <row r="68" spans="1:31" x14ac:dyDescent="0.2">
      <c r="A68" s="258" t="s">
        <v>596</v>
      </c>
      <c r="B68" s="259">
        <f t="shared" ref="B68:AE68" si="5">B66+B67</f>
        <v>0</v>
      </c>
      <c r="C68" s="259">
        <f t="shared" si="5"/>
        <v>0</v>
      </c>
      <c r="D68" s="259">
        <f t="shared" si="5"/>
        <v>0</v>
      </c>
      <c r="E68" s="259">
        <f t="shared" si="5"/>
        <v>-4047642.6741426825</v>
      </c>
      <c r="F68" s="259">
        <f t="shared" si="5"/>
        <v>-3993278.7310223291</v>
      </c>
      <c r="G68" s="259">
        <f t="shared" si="5"/>
        <v>-3938914.7879019752</v>
      </c>
      <c r="H68" s="259">
        <f t="shared" si="5"/>
        <v>-3884550.8447816223</v>
      </c>
      <c r="I68" s="259">
        <f t="shared" si="5"/>
        <v>-3904319.5513708415</v>
      </c>
      <c r="J68" s="259">
        <f t="shared" si="5"/>
        <v>-3775822.958540915</v>
      </c>
      <c r="K68" s="259">
        <f t="shared" si="5"/>
        <v>-6390234.4049651874</v>
      </c>
      <c r="L68" s="259">
        <f t="shared" si="5"/>
        <v>-3667095.0723002078</v>
      </c>
      <c r="M68" s="259">
        <f t="shared" si="5"/>
        <v>-3612731.1291798549</v>
      </c>
      <c r="N68" s="259">
        <f t="shared" si="5"/>
        <v>-3558367.186059501</v>
      </c>
      <c r="O68" s="259">
        <f t="shared" si="5"/>
        <v>-4774142.6412964975</v>
      </c>
      <c r="P68" s="259">
        <f t="shared" si="5"/>
        <v>-3449639.2998187942</v>
      </c>
      <c r="Q68" s="259">
        <f t="shared" si="5"/>
        <v>-3395275.3566984404</v>
      </c>
      <c r="R68" s="259">
        <f t="shared" si="5"/>
        <v>-3340911.413578087</v>
      </c>
      <c r="S68" s="259">
        <f t="shared" si="5"/>
        <v>-5955322.8600023594</v>
      </c>
      <c r="T68" s="259">
        <f t="shared" si="5"/>
        <v>-3232183.5273373802</v>
      </c>
      <c r="U68" s="259">
        <f t="shared" si="5"/>
        <v>-3251952.2339265998</v>
      </c>
      <c r="V68" s="259">
        <f t="shared" si="5"/>
        <v>-3123455.641096673</v>
      </c>
      <c r="W68" s="259">
        <f t="shared" si="5"/>
        <v>-3069091.6979763196</v>
      </c>
      <c r="X68" s="259">
        <f t="shared" si="5"/>
        <v>-3014727.7548559662</v>
      </c>
      <c r="Y68" s="259">
        <f t="shared" si="5"/>
        <v>-2960363.8117356128</v>
      </c>
      <c r="Z68" s="259">
        <f t="shared" si="5"/>
        <v>-2905999.8686152594</v>
      </c>
      <c r="AA68" s="259">
        <f t="shared" si="5"/>
        <v>-5520411.3150395313</v>
      </c>
      <c r="AB68" s="259">
        <f t="shared" si="5"/>
        <v>-2797271.9823745522</v>
      </c>
      <c r="AC68" s="259">
        <f t="shared" si="5"/>
        <v>-2742908.0392541988</v>
      </c>
      <c r="AD68" s="259">
        <f t="shared" si="5"/>
        <v>-2688544.0961338454</v>
      </c>
      <c r="AE68" s="259">
        <f t="shared" si="5"/>
        <v>-2634180.153013492</v>
      </c>
    </row>
    <row r="69" spans="1:31" x14ac:dyDescent="0.2">
      <c r="A69" s="255" t="s">
        <v>253</v>
      </c>
      <c r="B69" s="257">
        <v>0</v>
      </c>
      <c r="C69" s="257">
        <v>0</v>
      </c>
      <c r="D69" s="257">
        <v>0</v>
      </c>
      <c r="E69" s="257">
        <v>0</v>
      </c>
      <c r="F69" s="257">
        <v>0</v>
      </c>
      <c r="G69" s="257">
        <v>0</v>
      </c>
      <c r="H69" s="257">
        <v>0</v>
      </c>
      <c r="I69" s="257">
        <v>0</v>
      </c>
      <c r="J69" s="257">
        <v>0</v>
      </c>
      <c r="K69" s="257">
        <v>0</v>
      </c>
      <c r="L69" s="257">
        <v>0</v>
      </c>
      <c r="M69" s="257">
        <v>0</v>
      </c>
      <c r="N69" s="257">
        <v>0</v>
      </c>
      <c r="O69" s="257">
        <v>0</v>
      </c>
      <c r="P69" s="257">
        <v>0</v>
      </c>
      <c r="Q69" s="257">
        <v>0</v>
      </c>
      <c r="R69" s="257">
        <v>0</v>
      </c>
      <c r="S69" s="257">
        <v>0</v>
      </c>
      <c r="T69" s="257">
        <v>0</v>
      </c>
      <c r="U69" s="257">
        <v>0</v>
      </c>
      <c r="V69" s="257">
        <v>0</v>
      </c>
      <c r="W69" s="257">
        <v>0</v>
      </c>
      <c r="X69" s="257">
        <v>0</v>
      </c>
      <c r="Y69" s="257">
        <v>0</v>
      </c>
      <c r="Z69" s="257">
        <v>0</v>
      </c>
      <c r="AA69" s="257">
        <v>0</v>
      </c>
      <c r="AB69" s="257">
        <v>0</v>
      </c>
      <c r="AC69" s="257">
        <v>0</v>
      </c>
      <c r="AD69" s="257">
        <v>0</v>
      </c>
      <c r="AE69" s="257">
        <v>0</v>
      </c>
    </row>
    <row r="70" spans="1:31" x14ac:dyDescent="0.2">
      <c r="A70" s="258" t="s">
        <v>257</v>
      </c>
      <c r="B70" s="259">
        <f t="shared" ref="B70:AE70" si="6">B68+B69</f>
        <v>0</v>
      </c>
      <c r="C70" s="259">
        <f t="shared" si="6"/>
        <v>0</v>
      </c>
      <c r="D70" s="259">
        <f t="shared" si="6"/>
        <v>0</v>
      </c>
      <c r="E70" s="259">
        <f t="shared" si="6"/>
        <v>-4047642.6741426825</v>
      </c>
      <c r="F70" s="259">
        <f t="shared" si="6"/>
        <v>-3993278.7310223291</v>
      </c>
      <c r="G70" s="259">
        <f t="shared" si="6"/>
        <v>-3938914.7879019752</v>
      </c>
      <c r="H70" s="259">
        <f t="shared" si="6"/>
        <v>-3884550.8447816223</v>
      </c>
      <c r="I70" s="259">
        <f t="shared" si="6"/>
        <v>-3904319.5513708415</v>
      </c>
      <c r="J70" s="259">
        <f t="shared" si="6"/>
        <v>-3775822.958540915</v>
      </c>
      <c r="K70" s="259">
        <f t="shared" si="6"/>
        <v>-6390234.4049651874</v>
      </c>
      <c r="L70" s="259">
        <f t="shared" si="6"/>
        <v>-3667095.0723002078</v>
      </c>
      <c r="M70" s="259">
        <f t="shared" si="6"/>
        <v>-3612731.1291798549</v>
      </c>
      <c r="N70" s="259">
        <f t="shared" si="6"/>
        <v>-3558367.186059501</v>
      </c>
      <c r="O70" s="259">
        <f t="shared" si="6"/>
        <v>-4774142.6412964975</v>
      </c>
      <c r="P70" s="259">
        <f t="shared" si="6"/>
        <v>-3449639.2998187942</v>
      </c>
      <c r="Q70" s="259">
        <f t="shared" si="6"/>
        <v>-3395275.3566984404</v>
      </c>
      <c r="R70" s="259">
        <f t="shared" si="6"/>
        <v>-3340911.413578087</v>
      </c>
      <c r="S70" s="259">
        <f t="shared" si="6"/>
        <v>-5955322.8600023594</v>
      </c>
      <c r="T70" s="259">
        <f t="shared" si="6"/>
        <v>-3232183.5273373802</v>
      </c>
      <c r="U70" s="259">
        <f t="shared" si="6"/>
        <v>-3251952.2339265998</v>
      </c>
      <c r="V70" s="259">
        <f t="shared" si="6"/>
        <v>-3123455.641096673</v>
      </c>
      <c r="W70" s="259">
        <f t="shared" si="6"/>
        <v>-3069091.6979763196</v>
      </c>
      <c r="X70" s="259">
        <f t="shared" si="6"/>
        <v>-3014727.7548559662</v>
      </c>
      <c r="Y70" s="259">
        <f t="shared" si="6"/>
        <v>-2960363.8117356128</v>
      </c>
      <c r="Z70" s="259">
        <f t="shared" si="6"/>
        <v>-2905999.8686152594</v>
      </c>
      <c r="AA70" s="259">
        <f t="shared" si="6"/>
        <v>-5520411.3150395313</v>
      </c>
      <c r="AB70" s="259">
        <f t="shared" si="6"/>
        <v>-2797271.9823745522</v>
      </c>
      <c r="AC70" s="259">
        <f t="shared" si="6"/>
        <v>-2742908.0392541988</v>
      </c>
      <c r="AD70" s="259">
        <f t="shared" si="6"/>
        <v>-2688544.0961338454</v>
      </c>
      <c r="AE70" s="259">
        <f t="shared" si="6"/>
        <v>-2634180.153013492</v>
      </c>
    </row>
    <row r="71" spans="1:31" x14ac:dyDescent="0.2">
      <c r="A71" s="255" t="s">
        <v>252</v>
      </c>
      <c r="B71" s="260">
        <f t="shared" ref="B71:AE71" si="7">-B70*$B$35</f>
        <v>0</v>
      </c>
      <c r="C71" s="260">
        <f t="shared" si="7"/>
        <v>0</v>
      </c>
      <c r="D71" s="260">
        <f t="shared" si="7"/>
        <v>0</v>
      </c>
      <c r="E71" s="260">
        <f t="shared" si="7"/>
        <v>809528.53482853656</v>
      </c>
      <c r="F71" s="260">
        <f t="shared" si="7"/>
        <v>798655.74620446586</v>
      </c>
      <c r="G71" s="260">
        <f t="shared" si="7"/>
        <v>787782.95758039504</v>
      </c>
      <c r="H71" s="260">
        <f t="shared" si="7"/>
        <v>776910.16895632446</v>
      </c>
      <c r="I71" s="260">
        <f t="shared" si="7"/>
        <v>780863.91027416836</v>
      </c>
      <c r="J71" s="260">
        <f t="shared" si="7"/>
        <v>755164.59170818306</v>
      </c>
      <c r="K71" s="260">
        <f t="shared" si="7"/>
        <v>1278046.8809930375</v>
      </c>
      <c r="L71" s="260">
        <f t="shared" si="7"/>
        <v>733419.01446004165</v>
      </c>
      <c r="M71" s="260">
        <f t="shared" si="7"/>
        <v>722546.22583597107</v>
      </c>
      <c r="N71" s="260">
        <f t="shared" si="7"/>
        <v>711673.43721190025</v>
      </c>
      <c r="O71" s="260">
        <f t="shared" si="7"/>
        <v>954828.52825929958</v>
      </c>
      <c r="P71" s="260">
        <f t="shared" si="7"/>
        <v>689927.85996375885</v>
      </c>
      <c r="Q71" s="260">
        <f t="shared" si="7"/>
        <v>679055.07133968815</v>
      </c>
      <c r="R71" s="260">
        <f t="shared" si="7"/>
        <v>668182.28271561745</v>
      </c>
      <c r="S71" s="260">
        <f t="shared" si="7"/>
        <v>1191064.5720004719</v>
      </c>
      <c r="T71" s="260">
        <f t="shared" si="7"/>
        <v>646436.70546747604</v>
      </c>
      <c r="U71" s="260">
        <f t="shared" si="7"/>
        <v>650390.44678532006</v>
      </c>
      <c r="V71" s="260">
        <f t="shared" si="7"/>
        <v>624691.12821933464</v>
      </c>
      <c r="W71" s="260">
        <f t="shared" si="7"/>
        <v>613818.33959526394</v>
      </c>
      <c r="X71" s="260">
        <f t="shared" si="7"/>
        <v>602945.55097119324</v>
      </c>
      <c r="Y71" s="260">
        <f t="shared" si="7"/>
        <v>592072.76234712254</v>
      </c>
      <c r="Z71" s="260">
        <f t="shared" si="7"/>
        <v>581199.97372305195</v>
      </c>
      <c r="AA71" s="260">
        <f t="shared" si="7"/>
        <v>1104082.2630079063</v>
      </c>
      <c r="AB71" s="260">
        <f t="shared" si="7"/>
        <v>559454.39647491043</v>
      </c>
      <c r="AC71" s="260">
        <f t="shared" si="7"/>
        <v>548581.60785083973</v>
      </c>
      <c r="AD71" s="260">
        <f t="shared" si="7"/>
        <v>537708.81922676915</v>
      </c>
      <c r="AE71" s="260">
        <f t="shared" si="7"/>
        <v>526836.03060269845</v>
      </c>
    </row>
    <row r="72" spans="1:31" ht="13.5" thickBot="1" x14ac:dyDescent="0.25">
      <c r="A72" s="262" t="s">
        <v>256</v>
      </c>
      <c r="B72" s="263">
        <f t="shared" ref="B72:AE72" si="8">B70+B71</f>
        <v>0</v>
      </c>
      <c r="C72" s="263">
        <f t="shared" si="8"/>
        <v>0</v>
      </c>
      <c r="D72" s="263">
        <f t="shared" si="8"/>
        <v>0</v>
      </c>
      <c r="E72" s="263">
        <f t="shared" si="8"/>
        <v>-3238114.1393141458</v>
      </c>
      <c r="F72" s="263">
        <f t="shared" si="8"/>
        <v>-3194622.9848178634</v>
      </c>
      <c r="G72" s="263">
        <f t="shared" si="8"/>
        <v>-3151131.8303215802</v>
      </c>
      <c r="H72" s="263">
        <f t="shared" si="8"/>
        <v>-3107640.6758252978</v>
      </c>
      <c r="I72" s="263">
        <f t="shared" si="8"/>
        <v>-3123455.641096673</v>
      </c>
      <c r="J72" s="263">
        <f t="shared" si="8"/>
        <v>-3020658.3668327322</v>
      </c>
      <c r="K72" s="263">
        <f t="shared" si="8"/>
        <v>-5112187.5239721499</v>
      </c>
      <c r="L72" s="263">
        <f t="shared" si="8"/>
        <v>-2933676.0578401661</v>
      </c>
      <c r="M72" s="263">
        <f t="shared" si="8"/>
        <v>-2890184.9033438838</v>
      </c>
      <c r="N72" s="263">
        <f t="shared" si="8"/>
        <v>-2846693.748847601</v>
      </c>
      <c r="O72" s="263">
        <f t="shared" si="8"/>
        <v>-3819314.1130371979</v>
      </c>
      <c r="P72" s="263">
        <f t="shared" si="8"/>
        <v>-2759711.4398550354</v>
      </c>
      <c r="Q72" s="263">
        <f t="shared" si="8"/>
        <v>-2716220.2853587521</v>
      </c>
      <c r="R72" s="263">
        <f t="shared" si="8"/>
        <v>-2672729.1308624698</v>
      </c>
      <c r="S72" s="263">
        <f t="shared" si="8"/>
        <v>-4764258.2880018875</v>
      </c>
      <c r="T72" s="263">
        <f t="shared" si="8"/>
        <v>-2585746.8218699042</v>
      </c>
      <c r="U72" s="263">
        <f t="shared" si="8"/>
        <v>-2601561.7871412798</v>
      </c>
      <c r="V72" s="263">
        <f t="shared" si="8"/>
        <v>-2498764.5128773386</v>
      </c>
      <c r="W72" s="263">
        <f t="shared" si="8"/>
        <v>-2455273.3583810558</v>
      </c>
      <c r="X72" s="263">
        <f t="shared" si="8"/>
        <v>-2411782.203884773</v>
      </c>
      <c r="Y72" s="263">
        <f t="shared" si="8"/>
        <v>-2368291.0493884902</v>
      </c>
      <c r="Z72" s="263">
        <f t="shared" si="8"/>
        <v>-2324799.8948922073</v>
      </c>
      <c r="AA72" s="263">
        <f t="shared" si="8"/>
        <v>-4416329.0520316251</v>
      </c>
      <c r="AB72" s="263">
        <f t="shared" si="8"/>
        <v>-2237817.5858996417</v>
      </c>
      <c r="AC72" s="263">
        <f t="shared" si="8"/>
        <v>-2194326.4314033589</v>
      </c>
      <c r="AD72" s="263">
        <f t="shared" si="8"/>
        <v>-2150835.2769070761</v>
      </c>
      <c r="AE72" s="263">
        <f t="shared" si="8"/>
        <v>-2107344.1224107938</v>
      </c>
    </row>
    <row r="73" spans="1:31" ht="13.5" thickBot="1" x14ac:dyDescent="0.25">
      <c r="A73" s="245"/>
      <c r="B73" s="264">
        <v>0.5</v>
      </c>
      <c r="C73" s="264">
        <v>1.5</v>
      </c>
      <c r="D73" s="264">
        <v>2.5</v>
      </c>
      <c r="E73" s="264">
        <v>3.5</v>
      </c>
      <c r="F73" s="264">
        <v>4.5</v>
      </c>
      <c r="G73" s="264">
        <v>5.5</v>
      </c>
      <c r="H73" s="264">
        <v>6.5</v>
      </c>
      <c r="I73" s="264">
        <v>7.5</v>
      </c>
      <c r="J73" s="264">
        <v>8.5</v>
      </c>
      <c r="K73" s="264">
        <v>9.5</v>
      </c>
      <c r="L73" s="264">
        <v>10.5</v>
      </c>
      <c r="M73" s="264">
        <v>11.5</v>
      </c>
      <c r="N73" s="264">
        <v>12.5</v>
      </c>
      <c r="O73" s="264">
        <v>13.5</v>
      </c>
      <c r="P73" s="264">
        <v>14.5</v>
      </c>
      <c r="Q73" s="264">
        <v>15.5</v>
      </c>
      <c r="R73" s="264">
        <v>16.5</v>
      </c>
      <c r="S73" s="264">
        <v>17.5</v>
      </c>
      <c r="T73" s="264">
        <v>18.5</v>
      </c>
      <c r="U73" s="264">
        <v>19.5</v>
      </c>
      <c r="V73" s="264">
        <v>20.5</v>
      </c>
      <c r="W73" s="264">
        <v>21.5</v>
      </c>
      <c r="X73" s="264">
        <v>22.5</v>
      </c>
      <c r="Y73" s="264">
        <v>23.5</v>
      </c>
      <c r="Z73" s="264">
        <v>24.5</v>
      </c>
      <c r="AA73" s="264">
        <v>25.5</v>
      </c>
      <c r="AB73" s="264">
        <v>26.5</v>
      </c>
      <c r="AC73" s="264">
        <v>27.5</v>
      </c>
      <c r="AD73" s="264">
        <v>28.5</v>
      </c>
      <c r="AE73" s="264">
        <v>29.5</v>
      </c>
    </row>
    <row r="74" spans="1:31" x14ac:dyDescent="0.2">
      <c r="A74" s="247" t="s">
        <v>255</v>
      </c>
      <c r="B74" s="239">
        <v>1</v>
      </c>
      <c r="C74" s="239">
        <v>2</v>
      </c>
      <c r="D74" s="239">
        <v>3</v>
      </c>
      <c r="E74" s="239">
        <v>4</v>
      </c>
      <c r="F74" s="239">
        <v>5</v>
      </c>
      <c r="G74" s="239">
        <v>6</v>
      </c>
      <c r="H74" s="239">
        <v>7</v>
      </c>
      <c r="I74" s="239">
        <v>8</v>
      </c>
      <c r="J74" s="239">
        <v>9</v>
      </c>
      <c r="K74" s="239">
        <v>10</v>
      </c>
      <c r="L74" s="239">
        <v>11</v>
      </c>
      <c r="M74" s="239">
        <v>12</v>
      </c>
      <c r="N74" s="239">
        <v>13</v>
      </c>
      <c r="O74" s="239">
        <v>14</v>
      </c>
      <c r="P74" s="239">
        <v>15</v>
      </c>
      <c r="Q74" s="239">
        <v>16</v>
      </c>
      <c r="R74" s="239">
        <v>17</v>
      </c>
      <c r="S74" s="239">
        <v>18</v>
      </c>
      <c r="T74" s="239">
        <v>19</v>
      </c>
      <c r="U74" s="239">
        <v>20</v>
      </c>
      <c r="V74" s="239">
        <v>21</v>
      </c>
      <c r="W74" s="239">
        <v>22</v>
      </c>
      <c r="X74" s="239">
        <v>23</v>
      </c>
      <c r="Y74" s="239">
        <v>24</v>
      </c>
      <c r="Z74" s="239">
        <v>25</v>
      </c>
      <c r="AA74" s="239">
        <v>26</v>
      </c>
      <c r="AB74" s="239">
        <v>27</v>
      </c>
      <c r="AC74" s="239">
        <v>28</v>
      </c>
      <c r="AD74" s="239">
        <v>29</v>
      </c>
      <c r="AE74" s="239">
        <v>30</v>
      </c>
    </row>
    <row r="75" spans="1:31" x14ac:dyDescent="0.2">
      <c r="A75" s="265" t="s">
        <v>596</v>
      </c>
      <c r="B75" s="259">
        <f t="shared" ref="B75:AE75" si="9">B68</f>
        <v>0</v>
      </c>
      <c r="C75" s="259">
        <f t="shared" si="9"/>
        <v>0</v>
      </c>
      <c r="D75" s="259">
        <f t="shared" si="9"/>
        <v>0</v>
      </c>
      <c r="E75" s="259">
        <f t="shared" si="9"/>
        <v>-4047642.6741426825</v>
      </c>
      <c r="F75" s="259">
        <f t="shared" si="9"/>
        <v>-3993278.7310223291</v>
      </c>
      <c r="G75" s="259">
        <f t="shared" si="9"/>
        <v>-3938914.7879019752</v>
      </c>
      <c r="H75" s="259">
        <f t="shared" si="9"/>
        <v>-3884550.8447816223</v>
      </c>
      <c r="I75" s="259">
        <f t="shared" si="9"/>
        <v>-3904319.5513708415</v>
      </c>
      <c r="J75" s="259">
        <f t="shared" si="9"/>
        <v>-3775822.958540915</v>
      </c>
      <c r="K75" s="259">
        <f t="shared" si="9"/>
        <v>-6390234.4049651874</v>
      </c>
      <c r="L75" s="259">
        <f t="shared" si="9"/>
        <v>-3667095.0723002078</v>
      </c>
      <c r="M75" s="259">
        <f t="shared" si="9"/>
        <v>-3612731.1291798549</v>
      </c>
      <c r="N75" s="259">
        <f t="shared" si="9"/>
        <v>-3558367.186059501</v>
      </c>
      <c r="O75" s="259">
        <f t="shared" si="9"/>
        <v>-4774142.6412964975</v>
      </c>
      <c r="P75" s="259">
        <f t="shared" si="9"/>
        <v>-3449639.2998187942</v>
      </c>
      <c r="Q75" s="259">
        <f t="shared" si="9"/>
        <v>-3395275.3566984404</v>
      </c>
      <c r="R75" s="259">
        <f t="shared" si="9"/>
        <v>-3340911.413578087</v>
      </c>
      <c r="S75" s="259">
        <f t="shared" si="9"/>
        <v>-5955322.8600023594</v>
      </c>
      <c r="T75" s="259">
        <f t="shared" si="9"/>
        <v>-3232183.5273373802</v>
      </c>
      <c r="U75" s="259">
        <f t="shared" si="9"/>
        <v>-3251952.2339265998</v>
      </c>
      <c r="V75" s="259">
        <f t="shared" si="9"/>
        <v>-3123455.641096673</v>
      </c>
      <c r="W75" s="259">
        <f t="shared" si="9"/>
        <v>-3069091.6979763196</v>
      </c>
      <c r="X75" s="259">
        <f t="shared" si="9"/>
        <v>-3014727.7548559662</v>
      </c>
      <c r="Y75" s="259">
        <f t="shared" si="9"/>
        <v>-2960363.8117356128</v>
      </c>
      <c r="Z75" s="259">
        <f t="shared" si="9"/>
        <v>-2905999.8686152594</v>
      </c>
      <c r="AA75" s="259">
        <f t="shared" si="9"/>
        <v>-5520411.3150395313</v>
      </c>
      <c r="AB75" s="259">
        <f t="shared" si="9"/>
        <v>-2797271.9823745522</v>
      </c>
      <c r="AC75" s="259">
        <f t="shared" si="9"/>
        <v>-2742908.0392541988</v>
      </c>
      <c r="AD75" s="259">
        <f t="shared" si="9"/>
        <v>-2688544.0961338454</v>
      </c>
      <c r="AE75" s="259">
        <f t="shared" si="9"/>
        <v>-2634180.153013492</v>
      </c>
    </row>
    <row r="76" spans="1:31" x14ac:dyDescent="0.2">
      <c r="A76" s="255" t="s">
        <v>254</v>
      </c>
      <c r="B76" s="260">
        <f t="shared" ref="B76:AE76" si="10">-B67</f>
        <v>0</v>
      </c>
      <c r="C76" s="260">
        <f t="shared" si="10"/>
        <v>0</v>
      </c>
      <c r="D76" s="260">
        <f t="shared" si="10"/>
        <v>0</v>
      </c>
      <c r="E76" s="260">
        <f t="shared" si="10"/>
        <v>2471088.3236524314</v>
      </c>
      <c r="F76" s="260">
        <f t="shared" si="10"/>
        <v>2471088.3236524314</v>
      </c>
      <c r="G76" s="260">
        <f t="shared" si="10"/>
        <v>2471088.3236524314</v>
      </c>
      <c r="H76" s="260">
        <f t="shared" si="10"/>
        <v>2471088.3236524314</v>
      </c>
      <c r="I76" s="260">
        <f t="shared" si="10"/>
        <v>2471088.3236524314</v>
      </c>
      <c r="J76" s="260">
        <f t="shared" si="10"/>
        <v>2471088.3236524314</v>
      </c>
      <c r="K76" s="260">
        <f t="shared" si="10"/>
        <v>2471088.3236524314</v>
      </c>
      <c r="L76" s="260">
        <f t="shared" si="10"/>
        <v>2471088.3236524314</v>
      </c>
      <c r="M76" s="260">
        <f t="shared" si="10"/>
        <v>2471088.3236524314</v>
      </c>
      <c r="N76" s="260">
        <f t="shared" si="10"/>
        <v>2471088.3236524314</v>
      </c>
      <c r="O76" s="260">
        <f t="shared" si="10"/>
        <v>2471088.3236524314</v>
      </c>
      <c r="P76" s="260">
        <f t="shared" si="10"/>
        <v>2471088.3236524314</v>
      </c>
      <c r="Q76" s="260">
        <f t="shared" si="10"/>
        <v>2471088.3236524314</v>
      </c>
      <c r="R76" s="260">
        <f t="shared" si="10"/>
        <v>2471088.3236524314</v>
      </c>
      <c r="S76" s="260">
        <f t="shared" si="10"/>
        <v>2471088.3236524314</v>
      </c>
      <c r="T76" s="260">
        <f t="shared" si="10"/>
        <v>2471088.3236524314</v>
      </c>
      <c r="U76" s="260">
        <f t="shared" si="10"/>
        <v>2471088.3236524314</v>
      </c>
      <c r="V76" s="260">
        <f t="shared" si="10"/>
        <v>2471088.3236524314</v>
      </c>
      <c r="W76" s="260">
        <f t="shared" si="10"/>
        <v>2471088.3236524314</v>
      </c>
      <c r="X76" s="260">
        <f t="shared" si="10"/>
        <v>2471088.3236524314</v>
      </c>
      <c r="Y76" s="260">
        <f t="shared" si="10"/>
        <v>2471088.3236524314</v>
      </c>
      <c r="Z76" s="260">
        <f t="shared" si="10"/>
        <v>2471088.3236524314</v>
      </c>
      <c r="AA76" s="260">
        <f t="shared" si="10"/>
        <v>2471088.3236524314</v>
      </c>
      <c r="AB76" s="260">
        <f t="shared" si="10"/>
        <v>2471088.3236524314</v>
      </c>
      <c r="AC76" s="260">
        <f t="shared" si="10"/>
        <v>2471088.3236524314</v>
      </c>
      <c r="AD76" s="260">
        <f t="shared" si="10"/>
        <v>2471088.3236524314</v>
      </c>
      <c r="AE76" s="260">
        <f t="shared" si="10"/>
        <v>2471088.3236524314</v>
      </c>
    </row>
    <row r="77" spans="1:31" x14ac:dyDescent="0.2">
      <c r="A77" s="255" t="s">
        <v>253</v>
      </c>
      <c r="B77" s="260">
        <f t="shared" ref="B77:AE77" si="11">B69</f>
        <v>0</v>
      </c>
      <c r="C77" s="260">
        <f t="shared" si="11"/>
        <v>0</v>
      </c>
      <c r="D77" s="260">
        <f t="shared" si="11"/>
        <v>0</v>
      </c>
      <c r="E77" s="260">
        <f t="shared" si="11"/>
        <v>0</v>
      </c>
      <c r="F77" s="260">
        <f t="shared" si="11"/>
        <v>0</v>
      </c>
      <c r="G77" s="260">
        <f t="shared" si="11"/>
        <v>0</v>
      </c>
      <c r="H77" s="260">
        <f t="shared" si="11"/>
        <v>0</v>
      </c>
      <c r="I77" s="260">
        <f t="shared" si="11"/>
        <v>0</v>
      </c>
      <c r="J77" s="260">
        <f t="shared" si="11"/>
        <v>0</v>
      </c>
      <c r="K77" s="260">
        <f t="shared" si="11"/>
        <v>0</v>
      </c>
      <c r="L77" s="260">
        <f t="shared" si="11"/>
        <v>0</v>
      </c>
      <c r="M77" s="260">
        <f t="shared" si="11"/>
        <v>0</v>
      </c>
      <c r="N77" s="260">
        <f t="shared" si="11"/>
        <v>0</v>
      </c>
      <c r="O77" s="260">
        <f t="shared" si="11"/>
        <v>0</v>
      </c>
      <c r="P77" s="260">
        <f t="shared" si="11"/>
        <v>0</v>
      </c>
      <c r="Q77" s="260">
        <f t="shared" si="11"/>
        <v>0</v>
      </c>
      <c r="R77" s="260">
        <f t="shared" si="11"/>
        <v>0</v>
      </c>
      <c r="S77" s="260">
        <f t="shared" si="11"/>
        <v>0</v>
      </c>
      <c r="T77" s="260">
        <f t="shared" si="11"/>
        <v>0</v>
      </c>
      <c r="U77" s="260">
        <f t="shared" si="11"/>
        <v>0</v>
      </c>
      <c r="V77" s="260">
        <f t="shared" si="11"/>
        <v>0</v>
      </c>
      <c r="W77" s="260">
        <f t="shared" si="11"/>
        <v>0</v>
      </c>
      <c r="X77" s="260">
        <f t="shared" si="11"/>
        <v>0</v>
      </c>
      <c r="Y77" s="260">
        <f t="shared" si="11"/>
        <v>0</v>
      </c>
      <c r="Z77" s="260">
        <f t="shared" si="11"/>
        <v>0</v>
      </c>
      <c r="AA77" s="260">
        <f t="shared" si="11"/>
        <v>0</v>
      </c>
      <c r="AB77" s="260">
        <f t="shared" si="11"/>
        <v>0</v>
      </c>
      <c r="AC77" s="260">
        <f t="shared" si="11"/>
        <v>0</v>
      </c>
      <c r="AD77" s="260">
        <f t="shared" si="11"/>
        <v>0</v>
      </c>
      <c r="AE77" s="260">
        <f t="shared" si="11"/>
        <v>0</v>
      </c>
    </row>
    <row r="78" spans="1:31" x14ac:dyDescent="0.2">
      <c r="A78" s="255" t="s">
        <v>252</v>
      </c>
      <c r="B78" s="260">
        <f>IF(SUM($B$71:B71)+SUM($A$78:A78)&gt;0,0,SUM($B$71:B71)-SUM($A$78:A78))</f>
        <v>0</v>
      </c>
      <c r="C78" s="260">
        <f>IF(SUM($B$71:C71)+SUM($A$78:B78)&gt;0,0,SUM($B$71:C71)-SUM($A$78:B78))</f>
        <v>0</v>
      </c>
      <c r="D78" s="260">
        <f>IF(SUM($B$71:D71)+SUM($A$78:C78)&gt;0,0,SUM($B$71:D71)-SUM($A$78:C78))</f>
        <v>0</v>
      </c>
      <c r="E78" s="260">
        <f>IF(SUM($B$71:E71)+SUM($A$78:D78)&gt;0,0,SUM($B$71:E71)-SUM($A$78:D78))</f>
        <v>0</v>
      </c>
      <c r="F78" s="260">
        <f>IF(SUM($B$71:F71)+SUM($A$78:E78)&gt;0,0,SUM($B$71:F71)-SUM($A$78:E78))</f>
        <v>0</v>
      </c>
      <c r="G78" s="260">
        <f>IF(SUM($B$71:G71)+SUM($A$78:F78)&gt;0,0,SUM($B$71:G71)-SUM($A$78:F78))</f>
        <v>0</v>
      </c>
      <c r="H78" s="260">
        <f>IF(SUM($B$71:H71)+SUM($A$78:G78)&gt;0,0,SUM($B$71:H71)-SUM($A$78:G78))</f>
        <v>0</v>
      </c>
      <c r="I78" s="260">
        <f>IF(SUM($B$71:I71)+SUM($A$78:H78)&gt;0,0,SUM($B$71:I71)-SUM($A$78:H78))</f>
        <v>0</v>
      </c>
      <c r="J78" s="260">
        <f>IF(SUM($B$71:J71)+SUM($A$78:I78)&gt;0,0,SUM($B$71:J71)-SUM($A$78:I78))</f>
        <v>0</v>
      </c>
      <c r="K78" s="260">
        <f>IF(SUM($B$71:K71)+SUM($A$78:J78)&gt;0,0,SUM($B$71:K71)-SUM($A$78:J78))</f>
        <v>0</v>
      </c>
      <c r="L78" s="260">
        <f>IF(SUM($B$71:L71)+SUM($A$78:K78)&gt;0,0,SUM($B$71:L71)-SUM($A$78:K78))</f>
        <v>0</v>
      </c>
      <c r="M78" s="260">
        <f>IF(SUM($B$71:M71)+SUM($A$78:L78)&gt;0,0,SUM($B$71:M71)-SUM($A$78:L78))</f>
        <v>0</v>
      </c>
      <c r="N78" s="260">
        <f>IF(SUM($B$71:N71)+SUM($A$78:M78)&gt;0,0,SUM($B$71:N71)-SUM($A$78:M78))</f>
        <v>0</v>
      </c>
      <c r="O78" s="260">
        <f>IF(SUM($B$71:O71)+SUM($A$78:N78)&gt;0,0,SUM($B$71:O71)-SUM($A$78:N78))</f>
        <v>0</v>
      </c>
      <c r="P78" s="260">
        <f>IF(SUM($B$71:P71)+SUM($A$78:O78)&gt;0,0,SUM($B$71:P71)-SUM($A$78:O78))</f>
        <v>0</v>
      </c>
      <c r="Q78" s="260">
        <f>IF(SUM($B$71:Q71)+SUM($A$78:P78)&gt;0,0,SUM($B$71:Q71)-SUM($A$78:P78))</f>
        <v>0</v>
      </c>
      <c r="R78" s="260">
        <f>IF(SUM($B$71:R71)+SUM($A$78:Q78)&gt;0,0,SUM($B$71:R71)-SUM($A$78:Q78))</f>
        <v>0</v>
      </c>
      <c r="S78" s="260">
        <f>IF(SUM($B$71:S71)+SUM($A$78:R78)&gt;0,0,SUM($B$71:S71)-SUM($A$78:R78))</f>
        <v>0</v>
      </c>
      <c r="T78" s="260">
        <f>IF(SUM($B$71:T71)+SUM($A$78:S78)&gt;0,0,SUM($B$71:T71)-SUM($A$78:S78))</f>
        <v>0</v>
      </c>
      <c r="U78" s="260">
        <f>IF(SUM($B$71:U71)+SUM($A$78:T78)&gt;0,0,SUM($B$71:U71)-SUM($A$78:T78))</f>
        <v>0</v>
      </c>
      <c r="V78" s="260">
        <f>IF(SUM($B$71:V71)+SUM($A$78:U78)&gt;0,0,SUM($B$71:V71)-SUM($A$78:U78))</f>
        <v>0</v>
      </c>
      <c r="W78" s="260">
        <f>IF(SUM($B$71:W71)+SUM($A$78:V78)&gt;0,0,SUM($B$71:W71)-SUM($A$78:V78))</f>
        <v>0</v>
      </c>
      <c r="X78" s="260">
        <f>IF(SUM($B$71:X71)+SUM($A$78:W78)&gt;0,0,SUM($B$71:X71)-SUM($A$78:W78))</f>
        <v>0</v>
      </c>
      <c r="Y78" s="260">
        <f>IF(SUM($B$71:Y71)+SUM($A$78:X78)&gt;0,0,SUM($B$71:Y71)-SUM($A$78:X78))</f>
        <v>0</v>
      </c>
      <c r="Z78" s="260">
        <f>IF(SUM($B$71:Z71)+SUM($A$78:Y78)&gt;0,0,SUM($B$71:Z71)-SUM($A$78:Y78))</f>
        <v>0</v>
      </c>
      <c r="AA78" s="260">
        <f>IF(SUM($B$71:AA71)+SUM($A$78:Z78)&gt;0,0,SUM($B$71:AA71)-SUM($A$78:Z78))</f>
        <v>0</v>
      </c>
      <c r="AB78" s="260">
        <f>IF(SUM($B$71:AB71)+SUM($A$78:AA78)&gt;0,0,SUM($B$71:AB71)-SUM($A$78:AA78))</f>
        <v>0</v>
      </c>
      <c r="AC78" s="260">
        <f>IF(SUM($B$71:AC71)+SUM($A$78:AB78)&gt;0,0,SUM($B$71:AC71)-SUM($A$78:AB78))</f>
        <v>0</v>
      </c>
      <c r="AD78" s="260">
        <f>IF(SUM($B$71:AD71)+SUM($A$78:AC78)&gt;0,0,SUM($B$71:AD71)-SUM($A$78:AC78))</f>
        <v>0</v>
      </c>
      <c r="AE78" s="260">
        <f>IF(SUM($B$71:AE71)+SUM($A$78:AD78)&gt;0,0,SUM($B$71:AE71)-SUM($A$78:AD78))</f>
        <v>0</v>
      </c>
    </row>
    <row r="79" spans="1:31" x14ac:dyDescent="0.2">
      <c r="A79" s="255" t="s">
        <v>251</v>
      </c>
      <c r="B79" s="260">
        <f>IF(((SUM($B$58:B58)+SUM($B$60:B64))+SUM($B$81:B81))&lt;0,((SUM($B$58:B58)+SUM($B$60:B64))+SUM($B$81:B81))*0.2-SUM($A$79:A79),IF(SUM(A$79:$A79)&lt;0,0-SUM(A$79:$A79),0))</f>
        <v>-4056690.7559999996</v>
      </c>
      <c r="C79" s="260">
        <f>IF(((SUM($B$58:C58)+SUM($B$60:C64))+SUM($B$81:C81))&lt;0,((SUM($B$58:C58)+SUM($B$60:C64))+SUM($B$81:C81))*0.2-SUM($A$79:B79),IF(SUM($A$79:B79)&lt;0,0-SUM($A$79:B79),0))</f>
        <v>-7556467.8953743093</v>
      </c>
      <c r="D79" s="260">
        <f>IF(((SUM($B$58:D58)+SUM($B$60:D64))+SUM($B$81:D81))&lt;0,((SUM($B$58:D58)+SUM($B$60:D64))+SUM($B$81:D81))*0.2-SUM($A$79:C79),IF(SUM($A$79:C79)&lt;0,0-SUM($A$79:C79),0))</f>
        <v>-6178677.2789231967</v>
      </c>
      <c r="E79" s="260">
        <f>IF(((SUM($B$58:E58)+SUM($B$60:E64))+SUM($B$81:E81))&lt;0,((SUM($B$58:E58)+SUM($B$60:E64))+SUM($B$81:E81))*0.2-SUM($A$79:D79),IF(SUM($A$79:D79)&lt;0,0-SUM($A$79:D79),0))</f>
        <v>0</v>
      </c>
      <c r="F79" s="260">
        <f>IF(((SUM($B$58:F58)+SUM($B$60:F64))+SUM($B$81:F81))&lt;0,((SUM($B$58:F58)+SUM($B$60:F64))+SUM($B$81:F81))*0.2-SUM($A$79:E79),IF(SUM($A$79:E79)&lt;0,0-SUM($A$79:E79),0))</f>
        <v>0</v>
      </c>
      <c r="G79" s="260">
        <f>IF(((SUM($B$58:G58)+SUM($B$60:G64))+SUM($B$81:G81))&lt;0,((SUM($B$58:G58)+SUM($B$60:G64))+SUM($B$81:G81))*0.2-SUM($A$79:F79),IF(SUM($A$79:F79)&lt;0,0-SUM($A$79:F79),0))</f>
        <v>0</v>
      </c>
      <c r="H79" s="260">
        <f>IF(((SUM($B$58:H58)+SUM($B$60:H64))+SUM($B$81:H81))&lt;0,((SUM($B$58:H58)+SUM($B$60:H64))+SUM($B$81:H81))*0.2-SUM($A$79:G79),IF(SUM($A$79:G79)&lt;0,0-SUM($A$79:G79),0))</f>
        <v>0</v>
      </c>
      <c r="I79" s="260">
        <f>IF(((SUM($B$58:I58)+SUM($B$60:I64))+SUM($B$81:I81))&lt;0,((SUM($B$58:I58)+SUM($B$60:I64))+SUM($B$81:I81))*0.2-SUM($A$79:H79),IF(SUM($A$79:H79)&lt;0,0-SUM($A$79:H79),0))</f>
        <v>-14826.529941916466</v>
      </c>
      <c r="J79" s="260">
        <f>IF(((SUM($B$58:J58)+SUM($B$60:J64))+SUM($B$81:J81))&lt;0,((SUM($B$58:J58)+SUM($B$60:J64))+SUM($B$81:J81))*0.2-SUM($A$79:I79),IF(SUM($A$79:I79)&lt;0,0-SUM($A$79:I79),0))</f>
        <v>0</v>
      </c>
      <c r="K79" s="260">
        <f>IF(((SUM($B$58:K58)+SUM($B$60:K64))+SUM($B$81:K81))&lt;0,((SUM($B$58:K58)+SUM($B$60:K64))+SUM($B$81:K81))*0.2-SUM($A$79:J79),IF(SUM($A$79:J79)&lt;0,0-SUM($A$79:J79),0))</f>
        <v>-533755.07790892571</v>
      </c>
      <c r="L79" s="260">
        <f>IF(((SUM($B$58:L58)+SUM($B$60:L64))+SUM($B$81:L81))&lt;0,((SUM($B$58:L58)+SUM($B$60:L64))+SUM($B$81:L81))*0.2-SUM($A$79:K79),IF(SUM($A$79:K79)&lt;0,0-SUM($A$79:K79),0))</f>
        <v>0</v>
      </c>
      <c r="M79" s="260">
        <f>IF(((SUM($B$58:M58)+SUM($B$60:M64))+SUM($B$81:M81))&lt;0,((SUM($B$58:M58)+SUM($B$60:M64))+SUM($B$81:M81))*0.2-SUM($A$79:L79),IF(SUM($A$79:L79)&lt;0,0-SUM($A$79:L79),0))</f>
        <v>0</v>
      </c>
      <c r="N79" s="260">
        <f>IF(((SUM($B$58:N58)+SUM($B$60:N64))+SUM($B$81:N81))&lt;0,((SUM($B$58:N58)+SUM($B$60:N64))+SUM($B$81:N81))*0.2-SUM($A$79:M79),IF(SUM($A$79:M79)&lt;0,0-SUM($A$79:M79),0))</f>
        <v>0</v>
      </c>
      <c r="O79" s="260">
        <f>IF(((SUM($B$58:O58)+SUM($B$60:O64))+SUM($B$81:O81))&lt;0,((SUM($B$58:O58)+SUM($B$60:O64))+SUM($B$81:O81))*0.2-SUM($A$79:N79),IF(SUM($A$79:N79)&lt;0,0-SUM($A$79:N79),0))</f>
        <v>-14826.52994191274</v>
      </c>
      <c r="P79" s="260">
        <f>IF(((SUM($B$58:P58)+SUM($B$60:P64))+SUM($B$81:P81))&lt;0,((SUM($B$58:P58)+SUM($B$60:P64))+SUM($B$81:P81))*0.2-SUM($A$79:O79),IF(SUM($A$79:O79)&lt;0,0-SUM($A$79:O79),0))</f>
        <v>0</v>
      </c>
      <c r="Q79" s="260">
        <f>IF(((SUM($B$58:Q58)+SUM($B$60:Q64))+SUM($B$81:Q81))&lt;0,((SUM($B$58:Q58)+SUM($B$60:Q64))+SUM($B$81:Q81))*0.2-SUM($A$79:P79),IF(SUM($A$79:P79)&lt;0,0-SUM($A$79:P79),0))</f>
        <v>0</v>
      </c>
      <c r="R79" s="260">
        <f>IF(((SUM($B$58:R58)+SUM($B$60:R64))+SUM($B$81:R81))&lt;0,((SUM($B$58:R58)+SUM($B$60:R64))+SUM($B$81:R81))*0.2-SUM($A$79:Q79),IF(SUM($A$79:Q79)&lt;0,0-SUM($A$79:Q79),0))</f>
        <v>0</v>
      </c>
      <c r="S79" s="260">
        <f>IF(((SUM($B$58:S58)+SUM($B$60:S64))+SUM($B$81:S81))&lt;0,((SUM($B$58:S58)+SUM($B$60:S64))+SUM($B$81:S81))*0.2-SUM($A$79:R79),IF(SUM($A$79:R79)&lt;0,0-SUM($A$79:R79),0))</f>
        <v>-533755.07790892571</v>
      </c>
      <c r="T79" s="260">
        <f>IF(((SUM($B$58:T58)+SUM($B$60:T64))+SUM($B$81:T81))&lt;0,((SUM($B$58:T58)+SUM($B$60:T64))+SUM($B$81:T81))*0.2-SUM($A$79:S79),IF(SUM($A$79:S79)&lt;0,0-SUM($A$79:S79),0))</f>
        <v>0</v>
      </c>
      <c r="U79" s="260">
        <f>IF(((SUM($B$58:U58)+SUM($B$60:U64))+SUM($B$81:U81))&lt;0,((SUM($B$58:U58)+SUM($B$60:U64))+SUM($B$81:U81))*0.2-SUM($A$79:T79),IF(SUM($A$79:T79)&lt;0,0-SUM($A$79:T79),0))</f>
        <v>-14826.529941916466</v>
      </c>
      <c r="V79" s="260">
        <f>IF(((SUM($B$58:V58)+SUM($B$60:V64))+SUM($B$81:V81))&lt;0,((SUM($B$58:V58)+SUM($B$60:V64))+SUM($B$81:V81))*0.2-SUM($A$79:U79),IF(SUM($A$79:U79)&lt;0,0-SUM($A$79:U79),0))</f>
        <v>0</v>
      </c>
      <c r="W79" s="260">
        <f>IF(((SUM($B$58:W58)+SUM($B$60:W64))+SUM($B$81:W81))&lt;0,((SUM($B$58:W58)+SUM($B$60:W64))+SUM($B$81:W81))*0.2-SUM($A$79:V79),IF(SUM($A$79:V79)&lt;0,0-SUM($A$79:V79),0))</f>
        <v>0</v>
      </c>
      <c r="X79" s="260">
        <f>IF(((SUM($B$58:X58)+SUM($B$60:X64))+SUM($B$81:X81))&lt;0,((SUM($B$58:X58)+SUM($B$60:X64))+SUM($B$81:X81))*0.2-SUM($A$79:W79),IF(SUM($A$79:W79)&lt;0,0-SUM($A$79:W79),0))</f>
        <v>0</v>
      </c>
      <c r="Y79" s="260">
        <f>IF(((SUM($B$58:Y58)+SUM($B$60:Y64))+SUM($B$81:Y81))&lt;0,((SUM($B$58:Y58)+SUM($B$60:Y64))+SUM($B$81:Y81))*0.2-SUM($A$79:X79),IF(SUM($A$79:X79)&lt;0,0-SUM($A$79:X79),0))</f>
        <v>0</v>
      </c>
      <c r="Z79" s="260">
        <f>IF(((SUM($B$58:Z58)+SUM($B$60:Z64))+SUM($B$81:Z81))&lt;0,((SUM($B$58:Z58)+SUM($B$60:Z64))+SUM($B$81:Z81))*0.2-SUM($A$79:Y79),IF(SUM($A$79:Y79)&lt;0,0-SUM($A$79:Y79),0))</f>
        <v>0</v>
      </c>
      <c r="AA79" s="260">
        <f>IF(((SUM($B$58:AA58)+SUM($B$60:AA64))+SUM($B$81:AA81))&lt;0,((SUM($B$58:AA58)+SUM($B$60:AA64))+SUM($B$81:AA81))*0.2-SUM($A$79:Z79),IF(SUM($A$79:Z79)&lt;0,0-SUM($A$79:Z79),0))</f>
        <v>-533755.07790892199</v>
      </c>
      <c r="AB79" s="260">
        <f>IF(((SUM($B$58:AB58)+SUM($B$60:AB64))+SUM($B$81:AB81))&lt;0,((SUM($B$58:AB58)+SUM($B$60:AB64))+SUM($B$81:AB81))*0.2-SUM($A$79:AA79),IF(SUM($A$79:AA79)&lt;0,0-SUM($A$79:AA79),0))</f>
        <v>0</v>
      </c>
      <c r="AC79" s="260">
        <f>IF(((SUM($B$58:AC58)+SUM($B$60:AC64))+SUM($B$81:AC81))&lt;0,((SUM($B$58:AC58)+SUM($B$60:AC64))+SUM($B$81:AC81))*0.2-SUM($A$79:AB79),IF(SUM($A$79:AB79)&lt;0,0-SUM($A$79:AB79),0))</f>
        <v>0</v>
      </c>
      <c r="AD79" s="260">
        <f>IF(((SUM($B$58:AD58)+SUM($B$60:AD64))+SUM($B$81:AD81))&lt;0,((SUM($B$58:AD58)+SUM($B$60:AD64))+SUM($B$81:AD81))*0.2-SUM($A$79:AC79),IF(SUM($A$79:AC79)&lt;0,0-SUM($A$79:AC79),0))</f>
        <v>0</v>
      </c>
      <c r="AE79" s="260">
        <f>IF(((SUM($B$58:AE58)+SUM($B$60:AE64))+SUM($B$81:AE81))&lt;0,((SUM($B$58:AE58)+SUM($B$60:AE64))+SUM($B$81:AE81))*0.2-SUM($A$79:AD79),IF(SUM($A$79:AD79)&lt;0,0-SUM($A$79:AD79),0))</f>
        <v>0</v>
      </c>
    </row>
    <row r="80" spans="1:31" x14ac:dyDescent="0.2">
      <c r="A80" s="255" t="s">
        <v>250</v>
      </c>
      <c r="B80" s="260">
        <f>-B58*($B$38)</f>
        <v>0</v>
      </c>
      <c r="C80" s="260">
        <f t="shared" ref="C80:AE80" si="12">-C58*($B$38)</f>
        <v>0</v>
      </c>
      <c r="D80" s="260">
        <f t="shared" si="12"/>
        <v>0</v>
      </c>
      <c r="E80" s="260">
        <f t="shared" si="12"/>
        <v>0</v>
      </c>
      <c r="F80" s="260">
        <f t="shared" si="12"/>
        <v>0</v>
      </c>
      <c r="G80" s="260">
        <f t="shared" si="12"/>
        <v>0</v>
      </c>
      <c r="H80" s="260">
        <f t="shared" si="12"/>
        <v>0</v>
      </c>
      <c r="I80" s="260">
        <f t="shared" si="12"/>
        <v>0</v>
      </c>
      <c r="J80" s="260">
        <f t="shared" si="12"/>
        <v>0</v>
      </c>
      <c r="K80" s="260">
        <f t="shared" si="12"/>
        <v>0</v>
      </c>
      <c r="L80" s="260">
        <f t="shared" si="12"/>
        <v>0</v>
      </c>
      <c r="M80" s="260">
        <f t="shared" si="12"/>
        <v>0</v>
      </c>
      <c r="N80" s="260">
        <f t="shared" si="12"/>
        <v>0</v>
      </c>
      <c r="O80" s="260">
        <f t="shared" si="12"/>
        <v>0</v>
      </c>
      <c r="P80" s="260">
        <f t="shared" si="12"/>
        <v>0</v>
      </c>
      <c r="Q80" s="260">
        <f t="shared" si="12"/>
        <v>0</v>
      </c>
      <c r="R80" s="260">
        <f t="shared" si="12"/>
        <v>0</v>
      </c>
      <c r="S80" s="260">
        <f t="shared" si="12"/>
        <v>0</v>
      </c>
      <c r="T80" s="260">
        <f t="shared" si="12"/>
        <v>0</v>
      </c>
      <c r="U80" s="260">
        <f t="shared" si="12"/>
        <v>0</v>
      </c>
      <c r="V80" s="260">
        <f t="shared" si="12"/>
        <v>0</v>
      </c>
      <c r="W80" s="260">
        <f t="shared" si="12"/>
        <v>0</v>
      </c>
      <c r="X80" s="260">
        <f t="shared" si="12"/>
        <v>0</v>
      </c>
      <c r="Y80" s="260">
        <f t="shared" si="12"/>
        <v>0</v>
      </c>
      <c r="Z80" s="260">
        <f t="shared" si="12"/>
        <v>0</v>
      </c>
      <c r="AA80" s="260">
        <f t="shared" si="12"/>
        <v>0</v>
      </c>
      <c r="AB80" s="260">
        <f t="shared" si="12"/>
        <v>0</v>
      </c>
      <c r="AC80" s="260">
        <f t="shared" si="12"/>
        <v>0</v>
      </c>
      <c r="AD80" s="260">
        <f t="shared" si="12"/>
        <v>0</v>
      </c>
      <c r="AE80" s="260">
        <f t="shared" si="12"/>
        <v>0</v>
      </c>
    </row>
    <row r="81" spans="1:31" x14ac:dyDescent="0.2">
      <c r="A81" s="255" t="s">
        <v>432</v>
      </c>
      <c r="B81" s="266">
        <f>-20.28345378*1000000</f>
        <v>-20283453.779999997</v>
      </c>
      <c r="C81" s="266">
        <f>-'6.2. Паспорт фин осв ввод'!C24*1000000-D81-B81</f>
        <v>-37782339.476871535</v>
      </c>
      <c r="D81" s="257">
        <f>'6.2. Паспорт фин осв ввод'!G24*1000000*-1</f>
        <v>-30893386.394615993</v>
      </c>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row>
    <row r="82" spans="1:31" x14ac:dyDescent="0.2">
      <c r="A82" s="255" t="s">
        <v>249</v>
      </c>
      <c r="B82" s="257">
        <v>0</v>
      </c>
      <c r="C82" s="257">
        <v>0</v>
      </c>
      <c r="D82" s="257">
        <v>0</v>
      </c>
      <c r="E82" s="257">
        <v>0</v>
      </c>
      <c r="F82" s="257">
        <v>0</v>
      </c>
      <c r="G82" s="257">
        <v>0</v>
      </c>
      <c r="H82" s="257">
        <v>0</v>
      </c>
      <c r="I82" s="257">
        <v>0</v>
      </c>
      <c r="J82" s="257">
        <v>0</v>
      </c>
      <c r="K82" s="257">
        <v>0</v>
      </c>
      <c r="L82" s="257">
        <v>0</v>
      </c>
      <c r="M82" s="257">
        <v>0</v>
      </c>
      <c r="N82" s="257">
        <v>0</v>
      </c>
      <c r="O82" s="257">
        <v>0</v>
      </c>
      <c r="P82" s="257">
        <v>0</v>
      </c>
      <c r="Q82" s="257">
        <v>0</v>
      </c>
      <c r="R82" s="257">
        <v>0</v>
      </c>
      <c r="S82" s="257">
        <v>0</v>
      </c>
      <c r="T82" s="257">
        <v>0</v>
      </c>
      <c r="U82" s="257">
        <v>0</v>
      </c>
      <c r="V82" s="257">
        <v>0</v>
      </c>
      <c r="W82" s="257">
        <v>0</v>
      </c>
      <c r="X82" s="257">
        <v>0</v>
      </c>
      <c r="Y82" s="257">
        <v>0</v>
      </c>
      <c r="Z82" s="257">
        <v>0</v>
      </c>
      <c r="AA82" s="257">
        <v>0</v>
      </c>
      <c r="AB82" s="257">
        <v>0</v>
      </c>
      <c r="AC82" s="257">
        <v>0</v>
      </c>
      <c r="AD82" s="257">
        <v>0</v>
      </c>
      <c r="AE82" s="257">
        <v>0</v>
      </c>
    </row>
    <row r="83" spans="1:31" x14ac:dyDescent="0.2">
      <c r="A83" s="258" t="s">
        <v>248</v>
      </c>
      <c r="B83" s="259">
        <f t="shared" ref="B83:AE83" si="13">SUM(B75:B82)</f>
        <v>-24340144.535999998</v>
      </c>
      <c r="C83" s="259">
        <f t="shared" si="13"/>
        <v>-45338807.372245848</v>
      </c>
      <c r="D83" s="259">
        <f t="shared" si="13"/>
        <v>-37072063.673539191</v>
      </c>
      <c r="E83" s="259">
        <f t="shared" si="13"/>
        <v>-1576554.3504902511</v>
      </c>
      <c r="F83" s="259">
        <f t="shared" si="13"/>
        <v>-1522190.4073698977</v>
      </c>
      <c r="G83" s="259">
        <f t="shared" si="13"/>
        <v>-1467826.4642495438</v>
      </c>
      <c r="H83" s="259">
        <f t="shared" si="13"/>
        <v>-1413462.5211291909</v>
      </c>
      <c r="I83" s="259">
        <f t="shared" si="13"/>
        <v>-1448057.7576603265</v>
      </c>
      <c r="J83" s="259">
        <f t="shared" si="13"/>
        <v>-1304734.6348884837</v>
      </c>
      <c r="K83" s="259">
        <f t="shared" si="13"/>
        <v>-4452901.1592216818</v>
      </c>
      <c r="L83" s="259">
        <f t="shared" si="13"/>
        <v>-1196006.7486477764</v>
      </c>
      <c r="M83" s="259">
        <f t="shared" si="13"/>
        <v>-1141642.8055274235</v>
      </c>
      <c r="N83" s="259">
        <f t="shared" si="13"/>
        <v>-1087278.8624070697</v>
      </c>
      <c r="O83" s="259">
        <f t="shared" si="13"/>
        <v>-2317880.8475859789</v>
      </c>
      <c r="P83" s="259">
        <f t="shared" si="13"/>
        <v>-978550.97616636287</v>
      </c>
      <c r="Q83" s="259">
        <f t="shared" si="13"/>
        <v>-924187.03304600902</v>
      </c>
      <c r="R83" s="259">
        <f t="shared" si="13"/>
        <v>-869823.08992565563</v>
      </c>
      <c r="S83" s="259">
        <f t="shared" si="13"/>
        <v>-4017989.6142588537</v>
      </c>
      <c r="T83" s="259">
        <f t="shared" si="13"/>
        <v>-761095.20368494885</v>
      </c>
      <c r="U83" s="259">
        <f t="shared" si="13"/>
        <v>-795690.44021608494</v>
      </c>
      <c r="V83" s="259">
        <f t="shared" si="13"/>
        <v>-652367.31744424161</v>
      </c>
      <c r="W83" s="259">
        <f t="shared" si="13"/>
        <v>-598003.37432388822</v>
      </c>
      <c r="X83" s="259">
        <f t="shared" si="13"/>
        <v>-543639.43120353483</v>
      </c>
      <c r="Y83" s="259">
        <f t="shared" si="13"/>
        <v>-489275.48808318144</v>
      </c>
      <c r="Z83" s="259">
        <f t="shared" si="13"/>
        <v>-434911.54496282805</v>
      </c>
      <c r="AA83" s="259">
        <f t="shared" si="13"/>
        <v>-3583078.0692960219</v>
      </c>
      <c r="AB83" s="259">
        <f t="shared" si="13"/>
        <v>-326183.6587221208</v>
      </c>
      <c r="AC83" s="259">
        <f t="shared" si="13"/>
        <v>-271819.71560176741</v>
      </c>
      <c r="AD83" s="259">
        <f t="shared" si="13"/>
        <v>-217455.77248141402</v>
      </c>
      <c r="AE83" s="259">
        <f t="shared" si="13"/>
        <v>-163091.82936106063</v>
      </c>
    </row>
    <row r="84" spans="1:31" x14ac:dyDescent="0.2">
      <c r="A84" s="258" t="s">
        <v>597</v>
      </c>
      <c r="B84" s="259">
        <f>SUM($B$83:B83)</f>
        <v>-24340144.535999998</v>
      </c>
      <c r="C84" s="259">
        <f>SUM($B$83:C83)</f>
        <v>-69678951.908245847</v>
      </c>
      <c r="D84" s="259">
        <f>SUM($B$83:D83)</f>
        <v>-106751015.58178504</v>
      </c>
      <c r="E84" s="259">
        <f>SUM($B$83:E83)</f>
        <v>-108327569.9322753</v>
      </c>
      <c r="F84" s="259">
        <f>SUM($B$83:F83)</f>
        <v>-109849760.33964519</v>
      </c>
      <c r="G84" s="259">
        <f>SUM($B$83:G83)</f>
        <v>-111317586.80389473</v>
      </c>
      <c r="H84" s="259">
        <f>SUM($B$83:H83)</f>
        <v>-112731049.32502392</v>
      </c>
      <c r="I84" s="259">
        <f>SUM($B$83:I83)</f>
        <v>-114179107.08268425</v>
      </c>
      <c r="J84" s="259">
        <f>SUM($B$83:J83)</f>
        <v>-115483841.71757273</v>
      </c>
      <c r="K84" s="259">
        <f>SUM($B$83:K83)</f>
        <v>-119936742.87679441</v>
      </c>
      <c r="L84" s="259">
        <f>SUM($B$83:L83)</f>
        <v>-121132749.62544219</v>
      </c>
      <c r="M84" s="259">
        <f>SUM($B$83:M83)</f>
        <v>-122274392.43096961</v>
      </c>
      <c r="N84" s="259">
        <f>SUM($B$83:N83)</f>
        <v>-123361671.29337668</v>
      </c>
      <c r="O84" s="259">
        <f>SUM($B$83:O83)</f>
        <v>-125679552.14096266</v>
      </c>
      <c r="P84" s="259">
        <f>SUM($B$83:P83)</f>
        <v>-126658103.11712903</v>
      </c>
      <c r="Q84" s="259">
        <f>SUM($B$83:Q83)</f>
        <v>-127582290.15017503</v>
      </c>
      <c r="R84" s="259">
        <f>SUM($B$83:R83)</f>
        <v>-128452113.2401007</v>
      </c>
      <c r="S84" s="259">
        <f>SUM($B$83:S83)</f>
        <v>-132470102.85435955</v>
      </c>
      <c r="T84" s="259">
        <f>SUM($B$83:T83)</f>
        <v>-133231198.05804451</v>
      </c>
      <c r="U84" s="259">
        <f>SUM($B$83:U83)</f>
        <v>-134026888.49826059</v>
      </c>
      <c r="V84" s="259">
        <f>SUM($B$83:V83)</f>
        <v>-134679255.81570482</v>
      </c>
      <c r="W84" s="259">
        <f>SUM($B$83:W83)</f>
        <v>-135277259.1900287</v>
      </c>
      <c r="X84" s="259">
        <f>SUM($B$83:X83)</f>
        <v>-135820898.62123224</v>
      </c>
      <c r="Y84" s="259">
        <f>SUM($B$83:Y83)</f>
        <v>-136310174.10931543</v>
      </c>
      <c r="Z84" s="259">
        <f>SUM($B$83:Z83)</f>
        <v>-136745085.65427825</v>
      </c>
      <c r="AA84" s="259">
        <f>SUM($B$83:AA83)</f>
        <v>-140328163.72357428</v>
      </c>
      <c r="AB84" s="259">
        <f>SUM($B$83:AB83)</f>
        <v>-140654347.38229641</v>
      </c>
      <c r="AC84" s="259">
        <f>SUM($B$83:AC83)</f>
        <v>-140926167.09789819</v>
      </c>
      <c r="AD84" s="259">
        <f>SUM($B$83:AD83)</f>
        <v>-141143622.8703796</v>
      </c>
      <c r="AE84" s="259">
        <f>SUM($B$83:AE83)</f>
        <v>-141306714.69974065</v>
      </c>
    </row>
    <row r="85" spans="1:31" x14ac:dyDescent="0.2">
      <c r="A85" s="267" t="s">
        <v>433</v>
      </c>
      <c r="B85" s="268">
        <f t="shared" ref="B85:AE85" si="14">1/POWER((1+$B$43),B73)</f>
        <v>0.9128709291752769</v>
      </c>
      <c r="C85" s="268">
        <f t="shared" si="14"/>
        <v>0.7607257743127307</v>
      </c>
      <c r="D85" s="268">
        <f t="shared" si="14"/>
        <v>0.63393814526060899</v>
      </c>
      <c r="E85" s="268">
        <f t="shared" si="14"/>
        <v>0.52828178771717416</v>
      </c>
      <c r="F85" s="268">
        <f t="shared" si="14"/>
        <v>0.44023482309764517</v>
      </c>
      <c r="G85" s="268">
        <f t="shared" si="14"/>
        <v>0.36686235258137107</v>
      </c>
      <c r="H85" s="268">
        <f t="shared" si="14"/>
        <v>0.30571862715114251</v>
      </c>
      <c r="I85" s="268">
        <f t="shared" si="14"/>
        <v>0.25476552262595203</v>
      </c>
      <c r="J85" s="268">
        <f t="shared" si="14"/>
        <v>0.21230460218829345</v>
      </c>
      <c r="K85" s="268">
        <f t="shared" si="14"/>
        <v>0.17692050182357785</v>
      </c>
      <c r="L85" s="268">
        <f t="shared" si="14"/>
        <v>0.14743375151964822</v>
      </c>
      <c r="M85" s="268">
        <f t="shared" si="14"/>
        <v>0.12286145959970685</v>
      </c>
      <c r="N85" s="268">
        <f t="shared" si="14"/>
        <v>0.10238454966642239</v>
      </c>
      <c r="O85" s="268">
        <f t="shared" si="14"/>
        <v>8.5320458055351975E-2</v>
      </c>
      <c r="P85" s="268">
        <f t="shared" si="14"/>
        <v>7.1100381712793329E-2</v>
      </c>
      <c r="Q85" s="268">
        <f t="shared" si="14"/>
        <v>5.9250318093994447E-2</v>
      </c>
      <c r="R85" s="268">
        <f t="shared" si="14"/>
        <v>4.9375265078328692E-2</v>
      </c>
      <c r="S85" s="268">
        <f t="shared" si="14"/>
        <v>4.1146054231940586E-2</v>
      </c>
      <c r="T85" s="268">
        <f t="shared" si="14"/>
        <v>3.4288378526617161E-2</v>
      </c>
      <c r="U85" s="268">
        <f t="shared" si="14"/>
        <v>2.8573648772180955E-2</v>
      </c>
      <c r="V85" s="268">
        <f t="shared" si="14"/>
        <v>2.3811373976817471E-2</v>
      </c>
      <c r="W85" s="268">
        <f t="shared" si="14"/>
        <v>1.9842811647347896E-2</v>
      </c>
      <c r="X85" s="268">
        <f t="shared" si="14"/>
        <v>1.6535676372789913E-2</v>
      </c>
      <c r="Y85" s="268">
        <f t="shared" si="14"/>
        <v>1.377973031065826E-2</v>
      </c>
      <c r="Z85" s="268">
        <f t="shared" si="14"/>
        <v>1.1483108592215211E-2</v>
      </c>
      <c r="AA85" s="268">
        <f t="shared" si="14"/>
        <v>9.5692571601793501E-3</v>
      </c>
      <c r="AB85" s="268">
        <f t="shared" si="14"/>
        <v>7.9743809668161216E-3</v>
      </c>
      <c r="AC85" s="268">
        <f t="shared" si="14"/>
        <v>6.6453174723467663E-3</v>
      </c>
      <c r="AD85" s="268">
        <f t="shared" si="14"/>
        <v>5.5377645602889755E-3</v>
      </c>
      <c r="AE85" s="268">
        <f t="shared" si="14"/>
        <v>4.6148038002408118E-3</v>
      </c>
    </row>
    <row r="86" spans="1:31" x14ac:dyDescent="0.2">
      <c r="A86" s="265" t="s">
        <v>598</v>
      </c>
      <c r="B86" s="259">
        <f t="shared" ref="B86:AE86" si="15">B83*B85</f>
        <v>-22219410.358838856</v>
      </c>
      <c r="C86" s="259">
        <f t="shared" si="15"/>
        <v>-34490399.344667464</v>
      </c>
      <c r="D86" s="259">
        <f t="shared" si="15"/>
        <v>-23501395.286186632</v>
      </c>
      <c r="E86" s="259">
        <f t="shared" si="15"/>
        <v>-832864.95071027824</v>
      </c>
      <c r="F86" s="259">
        <f t="shared" si="15"/>
        <v>-670121.2247094193</v>
      </c>
      <c r="G86" s="259">
        <f t="shared" si="15"/>
        <v>-538490.26985578344</v>
      </c>
      <c r="H86" s="259">
        <f t="shared" si="15"/>
        <v>-432121.82148920902</v>
      </c>
      <c r="I86" s="259">
        <f t="shared" si="15"/>
        <v>-368915.19142289727</v>
      </c>
      <c r="J86" s="259">
        <f t="shared" si="15"/>
        <v>-277001.16762128781</v>
      </c>
      <c r="K86" s="259">
        <f t="shared" si="15"/>
        <v>-787809.50766029151</v>
      </c>
      <c r="L86" s="259">
        <f t="shared" si="15"/>
        <v>-176331.76179595862</v>
      </c>
      <c r="M86" s="259">
        <f t="shared" si="15"/>
        <v>-140263.90142860351</v>
      </c>
      <c r="N86" s="259">
        <f t="shared" si="15"/>
        <v>-111320.55668936786</v>
      </c>
      <c r="O86" s="259">
        <f t="shared" si="15"/>
        <v>-197762.65563376321</v>
      </c>
      <c r="P86" s="259">
        <f t="shared" si="15"/>
        <v>-69575.347930854929</v>
      </c>
      <c r="Q86" s="259">
        <f t="shared" si="15"/>
        <v>-54758.375686320993</v>
      </c>
      <c r="R86" s="259">
        <f t="shared" si="15"/>
        <v>-42947.745636330183</v>
      </c>
      <c r="S86" s="259">
        <f t="shared" si="15"/>
        <v>-165324.41857166882</v>
      </c>
      <c r="T86" s="259">
        <f t="shared" si="15"/>
        <v>-26096.720438742315</v>
      </c>
      <c r="U86" s="259">
        <f t="shared" si="15"/>
        <v>-22735.779170116461</v>
      </c>
      <c r="V86" s="259">
        <f t="shared" si="15"/>
        <v>-15533.762165918037</v>
      </c>
      <c r="W86" s="259">
        <f t="shared" si="15"/>
        <v>-11866.068321187393</v>
      </c>
      <c r="X86" s="259">
        <f t="shared" si="15"/>
        <v>-8989.4456978692378</v>
      </c>
      <c r="Y86" s="259">
        <f t="shared" si="15"/>
        <v>-6742.0842734019297</v>
      </c>
      <c r="Z86" s="259">
        <f t="shared" si="15"/>
        <v>-4994.1364988162431</v>
      </c>
      <c r="AA86" s="259">
        <f t="shared" si="15"/>
        <v>-34287.395470092561</v>
      </c>
      <c r="AB86" s="259">
        <f t="shared" si="15"/>
        <v>-2601.1127598001253</v>
      </c>
      <c r="AC86" s="259">
        <f t="shared" si="15"/>
        <v>-1806.3283054167539</v>
      </c>
      <c r="AD86" s="259">
        <f t="shared" si="15"/>
        <v>-1204.2188702778371</v>
      </c>
      <c r="AE86" s="259">
        <f t="shared" si="15"/>
        <v>-752.63679392364861</v>
      </c>
    </row>
    <row r="87" spans="1:31" x14ac:dyDescent="0.2">
      <c r="A87" s="265" t="s">
        <v>599</v>
      </c>
      <c r="B87" s="259">
        <f>SUM($B$86:B86)</f>
        <v>-22219410.358838856</v>
      </c>
      <c r="C87" s="259">
        <f>SUM($B$86:C86)</f>
        <v>-56709809.703506321</v>
      </c>
      <c r="D87" s="259">
        <f>SUM($B$86:D86)</f>
        <v>-80211204.989692956</v>
      </c>
      <c r="E87" s="259">
        <f>SUM($B$86:E86)</f>
        <v>-81044069.940403238</v>
      </c>
      <c r="F87" s="259">
        <f>SUM($B$86:F86)</f>
        <v>-81714191.165112659</v>
      </c>
      <c r="G87" s="259">
        <f>SUM($B$86:G86)</f>
        <v>-82252681.434968442</v>
      </c>
      <c r="H87" s="259">
        <f>SUM($B$86:H86)</f>
        <v>-82684803.256457657</v>
      </c>
      <c r="I87" s="259">
        <f>SUM($B$86:I86)</f>
        <v>-83053718.447880551</v>
      </c>
      <c r="J87" s="259">
        <f>SUM($B$86:J86)</f>
        <v>-83330719.615501836</v>
      </c>
      <c r="K87" s="259">
        <f>SUM($B$86:K86)</f>
        <v>-84118529.123162121</v>
      </c>
      <c r="L87" s="259">
        <f>SUM($B$86:L86)</f>
        <v>-84294860.884958073</v>
      </c>
      <c r="M87" s="259">
        <f>SUM($B$86:M86)</f>
        <v>-84435124.786386684</v>
      </c>
      <c r="N87" s="259">
        <f>SUM($B$86:N86)</f>
        <v>-84546445.34307605</v>
      </c>
      <c r="O87" s="259">
        <f>SUM($B$86:O86)</f>
        <v>-84744207.998709813</v>
      </c>
      <c r="P87" s="259">
        <f>SUM($B$86:P86)</f>
        <v>-84813783.346640661</v>
      </c>
      <c r="Q87" s="259">
        <f>SUM($B$86:Q86)</f>
        <v>-84868541.722326979</v>
      </c>
      <c r="R87" s="259">
        <f>SUM($B$86:R86)</f>
        <v>-84911489.467963308</v>
      </c>
      <c r="S87" s="259">
        <f>SUM($B$86:S86)</f>
        <v>-85076813.886534974</v>
      </c>
      <c r="T87" s="259">
        <f>SUM($B$86:T86)</f>
        <v>-85102910.606973723</v>
      </c>
      <c r="U87" s="259">
        <f>SUM($B$86:U86)</f>
        <v>-85125646.386143833</v>
      </c>
      <c r="V87" s="259">
        <f>SUM($B$86:V86)</f>
        <v>-85141180.148309752</v>
      </c>
      <c r="W87" s="259">
        <f>SUM($B$86:W86)</f>
        <v>-85153046.216630936</v>
      </c>
      <c r="X87" s="259">
        <f>SUM($B$86:X86)</f>
        <v>-85162035.662328809</v>
      </c>
      <c r="Y87" s="259">
        <f>SUM($B$86:Y86)</f>
        <v>-85168777.746602207</v>
      </c>
      <c r="Z87" s="259">
        <f>SUM($B$86:Z86)</f>
        <v>-85173771.883101016</v>
      </c>
      <c r="AA87" s="259">
        <f>SUM($B$86:AA86)</f>
        <v>-85208059.278571114</v>
      </c>
      <c r="AB87" s="259">
        <f>SUM($B$86:AB86)</f>
        <v>-85210660.391330913</v>
      </c>
      <c r="AC87" s="259">
        <f>SUM($B$86:AC86)</f>
        <v>-85212466.719636336</v>
      </c>
      <c r="AD87" s="259">
        <f>SUM($B$86:AD86)</f>
        <v>-85213670.938506618</v>
      </c>
      <c r="AE87" s="259">
        <f>SUM($B$86:AE86)</f>
        <v>-85214423.575300545</v>
      </c>
    </row>
    <row r="88" spans="1:31" x14ac:dyDescent="0.2">
      <c r="A88" s="265" t="s">
        <v>600</v>
      </c>
      <c r="B88" s="269">
        <f>IF((ISERR(IRR($B$83:B83))),0,IF(IRR($B$83:B83)&lt;0,0,IRR($B$83:B83)))</f>
        <v>0</v>
      </c>
      <c r="C88" s="269">
        <f>IF((ISERR(IRR($B$83:C83))),0,IF(IRR($B$83:C83)&lt;0,0,IRR($B$83:C83)))</f>
        <v>0</v>
      </c>
      <c r="D88" s="269">
        <f>IF((ISERR(IRR($B$83:D83))),0,IF(IRR($B$83:D83)&lt;0,0,IRR($B$83:D83)))</f>
        <v>0</v>
      </c>
      <c r="E88" s="269">
        <f>IF((ISERR(IRR($B$83:E83))),0,IF(IRR($B$83:E83)&lt;0,0,IRR($B$83:E83)))</f>
        <v>0</v>
      </c>
      <c r="F88" s="269">
        <f>IF((ISERR(IRR($B$83:F83))),0,IF(IRR($B$83:F83)&lt;0,0,IRR($B$83:F83)))</f>
        <v>0</v>
      </c>
      <c r="G88" s="269">
        <f>IF((ISERR(IRR($B$83:G83))),0,IF(IRR($B$83:G83)&lt;0,0,IRR($B$83:G83)))</f>
        <v>0</v>
      </c>
      <c r="H88" s="269">
        <f>IF((ISERR(IRR($B$83:H83))),0,IF(IRR($B$83:H83)&lt;0,0,IRR($B$83:H83)))</f>
        <v>0</v>
      </c>
      <c r="I88" s="269">
        <f>IF((ISERR(IRR($B$83:I83))),0,IF(IRR($B$83:I83)&lt;0,0,IRR($B$83:I83)))</f>
        <v>0</v>
      </c>
      <c r="J88" s="269">
        <f>IF((ISERR(IRR($B$83:J83))),0,IF(IRR($B$83:J83)&lt;0,0,IRR($B$83:J83)))</f>
        <v>0</v>
      </c>
      <c r="K88" s="269">
        <f>IF((ISERR(IRR($B$83:K83))),0,IF(IRR($B$83:K83)&lt;0,0,IRR($B$83:K83)))</f>
        <v>0</v>
      </c>
      <c r="L88" s="269">
        <f>IF((ISERR(IRR($B$83:L83))),0,IF(IRR($B$83:L83)&lt;0,0,IRR($B$83:L83)))</f>
        <v>0</v>
      </c>
      <c r="M88" s="269">
        <f>IF((ISERR(IRR($B$83:M83))),0,IF(IRR($B$83:M83)&lt;0,0,IRR($B$83:M83)))</f>
        <v>0</v>
      </c>
      <c r="N88" s="269">
        <f>IF((ISERR(IRR($B$83:N83))),0,IF(IRR($B$83:N83)&lt;0,0,IRR($B$83:N83)))</f>
        <v>0</v>
      </c>
      <c r="O88" s="269">
        <f>IF((ISERR(IRR($B$83:O83))),0,IF(IRR($B$83:O83)&lt;0,0,IRR($B$83:O83)))</f>
        <v>0</v>
      </c>
      <c r="P88" s="269">
        <f>IF((ISERR(IRR($B$83:P83))),0,IF(IRR($B$83:P83)&lt;0,0,IRR($B$83:P83)))</f>
        <v>0</v>
      </c>
      <c r="Q88" s="269">
        <f>IF((ISERR(IRR($B$83:Q83))),0,IF(IRR($B$83:Q83)&lt;0,0,IRR($B$83:Q83)))</f>
        <v>0</v>
      </c>
      <c r="R88" s="269">
        <f>IF((ISERR(IRR($B$83:R83))),0,IF(IRR($B$83:R83)&lt;0,0,IRR($B$83:R83)))</f>
        <v>0</v>
      </c>
      <c r="S88" s="269">
        <f>IF((ISERR(IRR($B$83:S83))),0,IF(IRR($B$83:S83)&lt;0,0,IRR($B$83:S83)))</f>
        <v>0</v>
      </c>
      <c r="T88" s="269">
        <f>IF((ISERR(IRR($B$83:T83))),0,IF(IRR($B$83:T83)&lt;0,0,IRR($B$83:T83)))</f>
        <v>0</v>
      </c>
      <c r="U88" s="269">
        <f>IF((ISERR(IRR($B$83:U83))),0,IF(IRR($B$83:U83)&lt;0,0,IRR($B$83:U83)))</f>
        <v>0</v>
      </c>
      <c r="V88" s="269">
        <f>IF((ISERR(IRR($B$83:V83))),0,IF(IRR($B$83:V83)&lt;0,0,IRR($B$83:V83)))</f>
        <v>0</v>
      </c>
      <c r="W88" s="269">
        <f>IF((ISERR(IRR($B$83:W83))),0,IF(IRR($B$83:W83)&lt;0,0,IRR($B$83:W83)))</f>
        <v>0</v>
      </c>
      <c r="X88" s="269">
        <f>IF((ISERR(IRR($B$83:X83))),0,IF(IRR($B$83:X83)&lt;0,0,IRR($B$83:X83)))</f>
        <v>0</v>
      </c>
      <c r="Y88" s="269">
        <f>IF((ISERR(IRR($B$83:Y83))),0,IF(IRR($B$83:Y83)&lt;0,0,IRR($B$83:Y83)))</f>
        <v>0</v>
      </c>
      <c r="Z88" s="269">
        <f>IF((ISERR(IRR($B$83:Z83))),0,IF(IRR($B$83:Z83)&lt;0,0,IRR($B$83:Z83)))</f>
        <v>0</v>
      </c>
      <c r="AA88" s="269">
        <f>IF((ISERR(IRR($B$83:AA83))),0,IF(IRR($B$83:AA83)&lt;0,0,IRR($B$83:AA83)))</f>
        <v>0</v>
      </c>
      <c r="AB88" s="269">
        <f>IF((ISERR(IRR($B$83:AB83))),0,IF(IRR($B$83:AB83)&lt;0,0,IRR($B$83:AB83)))</f>
        <v>0</v>
      </c>
      <c r="AC88" s="269">
        <f>IF((ISERR(IRR($B$83:AC83))),0,IF(IRR($B$83:AC83)&lt;0,0,IRR($B$83:AC83)))</f>
        <v>0</v>
      </c>
      <c r="AD88" s="269">
        <f>IF((ISERR(IRR($B$83:AD83))),0,IF(IRR($B$83:AD83)&lt;0,0,IRR($B$83:AD83)))</f>
        <v>0</v>
      </c>
      <c r="AE88" s="269">
        <f>IF((ISERR(IRR($B$83:AE83))),0,IF(IRR($B$83:AE83)&lt;0,0,IRR($B$83:AE83)))</f>
        <v>0</v>
      </c>
    </row>
    <row r="89" spans="1:31" x14ac:dyDescent="0.2">
      <c r="A89" s="265" t="s">
        <v>601</v>
      </c>
      <c r="B89" s="270">
        <f t="shared" ref="B89:AE89" si="16">IF(AND(B84&gt;0,A84&lt;0),(B74-(B84/(B84-A84))),0)</f>
        <v>0</v>
      </c>
      <c r="C89" s="270">
        <f t="shared" si="16"/>
        <v>0</v>
      </c>
      <c r="D89" s="270">
        <f t="shared" si="16"/>
        <v>0</v>
      </c>
      <c r="E89" s="270">
        <f t="shared" si="16"/>
        <v>0</v>
      </c>
      <c r="F89" s="270">
        <f t="shared" si="16"/>
        <v>0</v>
      </c>
      <c r="G89" s="270">
        <f t="shared" si="16"/>
        <v>0</v>
      </c>
      <c r="H89" s="270">
        <f t="shared" si="16"/>
        <v>0</v>
      </c>
      <c r="I89" s="270">
        <f t="shared" si="16"/>
        <v>0</v>
      </c>
      <c r="J89" s="270">
        <f t="shared" si="16"/>
        <v>0</v>
      </c>
      <c r="K89" s="270">
        <f t="shared" si="16"/>
        <v>0</v>
      </c>
      <c r="L89" s="270">
        <f t="shared" si="16"/>
        <v>0</v>
      </c>
      <c r="M89" s="270">
        <f t="shared" si="16"/>
        <v>0</v>
      </c>
      <c r="N89" s="270">
        <f t="shared" si="16"/>
        <v>0</v>
      </c>
      <c r="O89" s="270">
        <f t="shared" si="16"/>
        <v>0</v>
      </c>
      <c r="P89" s="270">
        <f t="shared" si="16"/>
        <v>0</v>
      </c>
      <c r="Q89" s="270">
        <f t="shared" si="16"/>
        <v>0</v>
      </c>
      <c r="R89" s="270">
        <f t="shared" si="16"/>
        <v>0</v>
      </c>
      <c r="S89" s="270">
        <f t="shared" si="16"/>
        <v>0</v>
      </c>
      <c r="T89" s="270">
        <f t="shared" si="16"/>
        <v>0</v>
      </c>
      <c r="U89" s="270">
        <f t="shared" si="16"/>
        <v>0</v>
      </c>
      <c r="V89" s="270">
        <f t="shared" si="16"/>
        <v>0</v>
      </c>
      <c r="W89" s="270">
        <f t="shared" si="16"/>
        <v>0</v>
      </c>
      <c r="X89" s="270">
        <f t="shared" si="16"/>
        <v>0</v>
      </c>
      <c r="Y89" s="270">
        <f t="shared" si="16"/>
        <v>0</v>
      </c>
      <c r="Z89" s="270">
        <f t="shared" si="16"/>
        <v>0</v>
      </c>
      <c r="AA89" s="270">
        <f t="shared" si="16"/>
        <v>0</v>
      </c>
      <c r="AB89" s="270">
        <f t="shared" si="16"/>
        <v>0</v>
      </c>
      <c r="AC89" s="270">
        <f t="shared" si="16"/>
        <v>0</v>
      </c>
      <c r="AD89" s="270">
        <f t="shared" si="16"/>
        <v>0</v>
      </c>
      <c r="AE89" s="270">
        <f t="shared" si="16"/>
        <v>0</v>
      </c>
    </row>
    <row r="90" spans="1:31" ht="13.5" thickBot="1" x14ac:dyDescent="0.25">
      <c r="A90" s="271" t="s">
        <v>602</v>
      </c>
      <c r="B90" s="272">
        <f t="shared" ref="B90:AE90" si="17">IF(AND(B87&gt;0,A87&lt;0),(B74-(B87/(B87-A87))),0)</f>
        <v>0</v>
      </c>
      <c r="C90" s="272">
        <f t="shared" si="17"/>
        <v>0</v>
      </c>
      <c r="D90" s="272">
        <f t="shared" si="17"/>
        <v>0</v>
      </c>
      <c r="E90" s="272">
        <f t="shared" si="17"/>
        <v>0</v>
      </c>
      <c r="F90" s="272">
        <f t="shared" si="17"/>
        <v>0</v>
      </c>
      <c r="G90" s="272">
        <f t="shared" si="17"/>
        <v>0</v>
      </c>
      <c r="H90" s="272">
        <f t="shared" si="17"/>
        <v>0</v>
      </c>
      <c r="I90" s="272">
        <f t="shared" si="17"/>
        <v>0</v>
      </c>
      <c r="J90" s="272">
        <f t="shared" si="17"/>
        <v>0</v>
      </c>
      <c r="K90" s="272">
        <f t="shared" si="17"/>
        <v>0</v>
      </c>
      <c r="L90" s="272">
        <f t="shared" si="17"/>
        <v>0</v>
      </c>
      <c r="M90" s="272">
        <f t="shared" si="17"/>
        <v>0</v>
      </c>
      <c r="N90" s="272">
        <f t="shared" si="17"/>
        <v>0</v>
      </c>
      <c r="O90" s="272">
        <f t="shared" si="17"/>
        <v>0</v>
      </c>
      <c r="P90" s="272">
        <f t="shared" si="17"/>
        <v>0</v>
      </c>
      <c r="Q90" s="272">
        <f t="shared" si="17"/>
        <v>0</v>
      </c>
      <c r="R90" s="272">
        <f t="shared" si="17"/>
        <v>0</v>
      </c>
      <c r="S90" s="272">
        <f t="shared" si="17"/>
        <v>0</v>
      </c>
      <c r="T90" s="272">
        <f t="shared" si="17"/>
        <v>0</v>
      </c>
      <c r="U90" s="272">
        <f t="shared" si="17"/>
        <v>0</v>
      </c>
      <c r="V90" s="272">
        <f t="shared" si="17"/>
        <v>0</v>
      </c>
      <c r="W90" s="272">
        <f t="shared" si="17"/>
        <v>0</v>
      </c>
      <c r="X90" s="272">
        <f t="shared" si="17"/>
        <v>0</v>
      </c>
      <c r="Y90" s="272">
        <f t="shared" si="17"/>
        <v>0</v>
      </c>
      <c r="Z90" s="272">
        <f t="shared" si="17"/>
        <v>0</v>
      </c>
      <c r="AA90" s="272">
        <f t="shared" si="17"/>
        <v>0</v>
      </c>
      <c r="AB90" s="272">
        <f t="shared" si="17"/>
        <v>0</v>
      </c>
      <c r="AC90" s="272">
        <f t="shared" si="17"/>
        <v>0</v>
      </c>
      <c r="AD90" s="272">
        <f t="shared" si="17"/>
        <v>0</v>
      </c>
      <c r="AE90" s="272">
        <f t="shared" si="17"/>
        <v>0</v>
      </c>
    </row>
    <row r="91" spans="1:31" x14ac:dyDescent="0.2">
      <c r="A91" s="273"/>
      <c r="B91" s="273">
        <v>2022</v>
      </c>
      <c r="C91" s="273">
        <f t="shared" ref="C91:AE92" si="18">B91+1</f>
        <v>2023</v>
      </c>
      <c r="D91" s="273">
        <f t="shared" si="18"/>
        <v>2024</v>
      </c>
      <c r="E91" s="273">
        <f t="shared" si="18"/>
        <v>2025</v>
      </c>
      <c r="F91" s="273">
        <f t="shared" si="18"/>
        <v>2026</v>
      </c>
      <c r="G91" s="273">
        <f t="shared" si="18"/>
        <v>2027</v>
      </c>
      <c r="H91" s="273">
        <f t="shared" si="18"/>
        <v>2028</v>
      </c>
      <c r="I91" s="273">
        <f t="shared" si="18"/>
        <v>2029</v>
      </c>
      <c r="J91" s="273">
        <f t="shared" si="18"/>
        <v>2030</v>
      </c>
      <c r="K91" s="273">
        <f t="shared" si="18"/>
        <v>2031</v>
      </c>
      <c r="L91" s="273">
        <f t="shared" si="18"/>
        <v>2032</v>
      </c>
      <c r="M91" s="273">
        <f t="shared" si="18"/>
        <v>2033</v>
      </c>
      <c r="N91" s="273">
        <f t="shared" si="18"/>
        <v>2034</v>
      </c>
      <c r="O91" s="273">
        <f t="shared" si="18"/>
        <v>2035</v>
      </c>
      <c r="P91" s="273">
        <f t="shared" si="18"/>
        <v>2036</v>
      </c>
      <c r="Q91" s="273">
        <f t="shared" si="18"/>
        <v>2037</v>
      </c>
      <c r="R91" s="273">
        <f t="shared" si="18"/>
        <v>2038</v>
      </c>
      <c r="S91" s="273">
        <f t="shared" si="18"/>
        <v>2039</v>
      </c>
      <c r="T91" s="273">
        <f t="shared" si="18"/>
        <v>2040</v>
      </c>
      <c r="U91" s="273">
        <f t="shared" si="18"/>
        <v>2041</v>
      </c>
      <c r="V91" s="273">
        <f t="shared" si="18"/>
        <v>2042</v>
      </c>
      <c r="W91" s="273">
        <f t="shared" si="18"/>
        <v>2043</v>
      </c>
      <c r="X91" s="273">
        <f t="shared" si="18"/>
        <v>2044</v>
      </c>
      <c r="Y91" s="273">
        <f t="shared" si="18"/>
        <v>2045</v>
      </c>
      <c r="Z91" s="273">
        <f t="shared" si="18"/>
        <v>2046</v>
      </c>
      <c r="AA91" s="273">
        <f t="shared" si="18"/>
        <v>2047</v>
      </c>
      <c r="AB91" s="273">
        <f t="shared" si="18"/>
        <v>2048</v>
      </c>
      <c r="AC91" s="273">
        <f t="shared" si="18"/>
        <v>2049</v>
      </c>
      <c r="AD91" s="273">
        <f t="shared" si="18"/>
        <v>2050</v>
      </c>
      <c r="AE91" s="273">
        <f t="shared" si="18"/>
        <v>2051</v>
      </c>
    </row>
    <row r="92" spans="1:31" s="291" customFormat="1" x14ac:dyDescent="0.2">
      <c r="A92" s="290"/>
      <c r="B92" s="290">
        <v>1</v>
      </c>
      <c r="C92" s="290">
        <f>B92+1</f>
        <v>2</v>
      </c>
      <c r="D92" s="290">
        <f t="shared" si="18"/>
        <v>3</v>
      </c>
      <c r="E92" s="290">
        <f t="shared" si="18"/>
        <v>4</v>
      </c>
      <c r="F92" s="290">
        <f t="shared" si="18"/>
        <v>5</v>
      </c>
      <c r="G92" s="290">
        <f t="shared" si="18"/>
        <v>6</v>
      </c>
      <c r="H92" s="290">
        <f t="shared" si="18"/>
        <v>7</v>
      </c>
      <c r="I92" s="290">
        <f t="shared" si="18"/>
        <v>8</v>
      </c>
      <c r="J92" s="290">
        <f t="shared" si="18"/>
        <v>9</v>
      </c>
      <c r="K92" s="290">
        <f t="shared" si="18"/>
        <v>10</v>
      </c>
      <c r="L92" s="290">
        <f t="shared" si="18"/>
        <v>11</v>
      </c>
      <c r="M92" s="290">
        <f t="shared" si="18"/>
        <v>12</v>
      </c>
      <c r="N92" s="290">
        <f t="shared" si="18"/>
        <v>13</v>
      </c>
      <c r="O92" s="290">
        <f t="shared" si="18"/>
        <v>14</v>
      </c>
      <c r="P92" s="290">
        <f t="shared" si="18"/>
        <v>15</v>
      </c>
      <c r="Q92" s="290">
        <f t="shared" si="18"/>
        <v>16</v>
      </c>
      <c r="R92" s="290">
        <f t="shared" si="18"/>
        <v>17</v>
      </c>
      <c r="S92" s="290">
        <f t="shared" si="18"/>
        <v>18</v>
      </c>
      <c r="T92" s="290">
        <f t="shared" si="18"/>
        <v>19</v>
      </c>
      <c r="U92" s="290">
        <f t="shared" si="18"/>
        <v>20</v>
      </c>
      <c r="V92" s="290">
        <f t="shared" si="18"/>
        <v>21</v>
      </c>
      <c r="W92" s="290">
        <f t="shared" si="18"/>
        <v>22</v>
      </c>
      <c r="X92" s="290">
        <f t="shared" si="18"/>
        <v>23</v>
      </c>
      <c r="Y92" s="290">
        <f t="shared" si="18"/>
        <v>24</v>
      </c>
      <c r="Z92" s="290">
        <f t="shared" si="18"/>
        <v>25</v>
      </c>
      <c r="AA92" s="290">
        <f t="shared" si="18"/>
        <v>26</v>
      </c>
      <c r="AB92" s="290">
        <f t="shared" si="18"/>
        <v>27</v>
      </c>
      <c r="AC92" s="290">
        <f t="shared" si="18"/>
        <v>28</v>
      </c>
      <c r="AD92" s="290">
        <f t="shared" si="18"/>
        <v>29</v>
      </c>
      <c r="AE92" s="290">
        <f t="shared" si="18"/>
        <v>30</v>
      </c>
    </row>
    <row r="93" spans="1:31" ht="54" customHeight="1" x14ac:dyDescent="0.2">
      <c r="A93" s="350" t="s">
        <v>603</v>
      </c>
      <c r="B93" s="350"/>
      <c r="C93" s="350"/>
      <c r="D93" s="350"/>
      <c r="E93" s="350"/>
      <c r="F93" s="350"/>
      <c r="G93" s="350"/>
      <c r="H93" s="350"/>
      <c r="I93" s="350"/>
      <c r="J93" s="350"/>
      <c r="K93" s="350"/>
      <c r="L93" s="350"/>
      <c r="M93" s="350"/>
      <c r="N93" s="350"/>
      <c r="O93" s="350"/>
      <c r="P93" s="350"/>
      <c r="Q93" s="350"/>
      <c r="R93" s="350"/>
      <c r="S93" s="350"/>
      <c r="T93" s="350"/>
      <c r="U93" s="350"/>
      <c r="V93" s="350"/>
      <c r="W93" s="350"/>
      <c r="X93" s="350"/>
      <c r="Y93" s="350"/>
      <c r="Z93" s="350"/>
      <c r="AA93" s="350"/>
      <c r="AB93" s="350"/>
      <c r="AC93" s="350"/>
    </row>
    <row r="94" spans="1:31" x14ac:dyDescent="0.2">
      <c r="A94" s="350"/>
      <c r="B94" s="350"/>
      <c r="C94" s="350"/>
      <c r="D94" s="350"/>
      <c r="E94" s="350"/>
      <c r="F94" s="350"/>
      <c r="G94" s="350"/>
      <c r="H94" s="350"/>
      <c r="I94" s="350"/>
      <c r="N94" s="204"/>
    </row>
    <row r="95" spans="1:31" hidden="1" x14ac:dyDescent="0.2">
      <c r="C95" s="274"/>
      <c r="N95" s="204"/>
    </row>
    <row r="96" spans="1:31" hidden="1" x14ac:dyDescent="0.2">
      <c r="N96" s="204"/>
    </row>
    <row r="97" spans="1:16" s="194" customFormat="1" ht="15.75" hidden="1" x14ac:dyDescent="0.2">
      <c r="H97" s="282">
        <v>2022</v>
      </c>
      <c r="I97" s="282">
        <v>2023</v>
      </c>
      <c r="J97" s="282">
        <v>2024</v>
      </c>
      <c r="K97" s="282">
        <v>2025</v>
      </c>
      <c r="L97" s="282">
        <v>2026</v>
      </c>
      <c r="M97" s="282">
        <v>2027</v>
      </c>
      <c r="N97" s="282">
        <v>2028</v>
      </c>
      <c r="O97" s="282">
        <v>2029</v>
      </c>
    </row>
    <row r="98" spans="1:16" s="194" customFormat="1" hidden="1" x14ac:dyDescent="0.2">
      <c r="A98" s="194" t="s">
        <v>608</v>
      </c>
      <c r="H98" s="288">
        <v>114.63142733059399</v>
      </c>
      <c r="I98" s="288">
        <v>106.968874824043</v>
      </c>
      <c r="J98" s="288">
        <v>105.27260918901</v>
      </c>
      <c r="K98" s="288">
        <v>104.761984318213</v>
      </c>
      <c r="L98" s="288">
        <v>104.57995653007001</v>
      </c>
      <c r="M98" s="288">
        <v>104.57995653007001</v>
      </c>
      <c r="N98" s="289">
        <v>104.57995653006968</v>
      </c>
      <c r="O98" s="288">
        <v>104.57995653006968</v>
      </c>
    </row>
    <row r="99" spans="1:16" s="194" customFormat="1" hidden="1" x14ac:dyDescent="0.2">
      <c r="N99" s="204"/>
    </row>
    <row r="100" spans="1:16" s="194" customFormat="1" ht="15" hidden="1" x14ac:dyDescent="0.2">
      <c r="A100" s="343" t="s">
        <v>609</v>
      </c>
      <c r="B100" s="343" t="s">
        <v>64</v>
      </c>
      <c r="C100" s="343" t="s">
        <v>610</v>
      </c>
      <c r="D100" s="343" t="s">
        <v>73</v>
      </c>
      <c r="E100" s="343" t="s">
        <v>611</v>
      </c>
      <c r="F100" s="343"/>
      <c r="G100" s="343"/>
      <c r="H100" s="343"/>
      <c r="I100" s="343"/>
      <c r="J100" s="343"/>
      <c r="K100" s="343"/>
      <c r="L100" s="343"/>
      <c r="M100" s="343"/>
      <c r="N100" s="343"/>
      <c r="O100" s="343"/>
      <c r="P100" s="343"/>
    </row>
    <row r="101" spans="1:16" s="194" customFormat="1" ht="15" hidden="1" x14ac:dyDescent="0.2">
      <c r="A101" s="343"/>
      <c r="B101" s="343"/>
      <c r="C101" s="343"/>
      <c r="D101" s="343"/>
      <c r="E101" s="284" t="s">
        <v>425</v>
      </c>
      <c r="F101" s="284" t="s">
        <v>438</v>
      </c>
      <c r="G101" s="284" t="s">
        <v>439</v>
      </c>
      <c r="H101" s="284" t="s">
        <v>612</v>
      </c>
      <c r="I101" s="284" t="s">
        <v>613</v>
      </c>
      <c r="J101" s="284" t="s">
        <v>614</v>
      </c>
      <c r="K101" s="284" t="s">
        <v>615</v>
      </c>
      <c r="L101" s="284" t="s">
        <v>616</v>
      </c>
      <c r="M101" s="284" t="s">
        <v>617</v>
      </c>
      <c r="N101" s="284" t="s">
        <v>618</v>
      </c>
      <c r="O101" s="284" t="s">
        <v>619</v>
      </c>
      <c r="P101" s="284" t="s">
        <v>620</v>
      </c>
    </row>
    <row r="102" spans="1:16" s="194" customFormat="1" ht="15" hidden="1" x14ac:dyDescent="0.2">
      <c r="A102" s="283">
        <v>1</v>
      </c>
      <c r="B102" s="283">
        <v>2</v>
      </c>
      <c r="C102" s="283">
        <v>3</v>
      </c>
      <c r="D102" s="283">
        <v>4</v>
      </c>
      <c r="E102" s="285" t="s">
        <v>134</v>
      </c>
      <c r="F102" s="285" t="s">
        <v>132</v>
      </c>
      <c r="G102" s="285" t="s">
        <v>131</v>
      </c>
      <c r="H102" s="285" t="s">
        <v>130</v>
      </c>
      <c r="I102" s="285" t="s">
        <v>129</v>
      </c>
      <c r="J102" s="285" t="s">
        <v>128</v>
      </c>
      <c r="K102" s="285" t="s">
        <v>621</v>
      </c>
      <c r="L102" s="285" t="s">
        <v>622</v>
      </c>
      <c r="M102" s="285" t="s">
        <v>623</v>
      </c>
      <c r="N102" s="285" t="s">
        <v>624</v>
      </c>
      <c r="O102" s="285" t="s">
        <v>625</v>
      </c>
      <c r="P102" s="285" t="s">
        <v>626</v>
      </c>
    </row>
    <row r="103" spans="1:16" s="194" customFormat="1" ht="76.5" hidden="1" customHeight="1" x14ac:dyDescent="0.2">
      <c r="A103" s="341" t="s">
        <v>627</v>
      </c>
      <c r="B103" s="342"/>
      <c r="C103" s="283" t="s">
        <v>628</v>
      </c>
      <c r="D103" s="286" t="s">
        <v>629</v>
      </c>
      <c r="E103" s="287">
        <v>105.2557</v>
      </c>
      <c r="F103" s="287">
        <v>106.826398641827</v>
      </c>
      <c r="G103" s="287">
        <v>105.56188522495653</v>
      </c>
      <c r="H103" s="287">
        <v>104.9354</v>
      </c>
      <c r="I103" s="287">
        <v>114.63142733059399</v>
      </c>
      <c r="J103" s="287">
        <v>106.968874824043</v>
      </c>
      <c r="K103" s="287">
        <v>105.27260918901</v>
      </c>
      <c r="L103" s="287">
        <v>104.761984318213</v>
      </c>
      <c r="M103" s="287">
        <v>104.57995653007001</v>
      </c>
      <c r="N103" s="287">
        <v>104.57995653007001</v>
      </c>
      <c r="O103" s="287">
        <v>104.57995653007001</v>
      </c>
      <c r="P103" s="287">
        <v>104.57995653007001</v>
      </c>
    </row>
    <row r="104" spans="1:16" s="194" customFormat="1" x14ac:dyDescent="0.2">
      <c r="N104" s="204"/>
    </row>
    <row r="105" spans="1:16" s="194" customFormat="1" x14ac:dyDescent="0.2">
      <c r="N105" s="204"/>
    </row>
    <row r="106" spans="1:16" s="194" customFormat="1" x14ac:dyDescent="0.2">
      <c r="N106" s="204"/>
    </row>
    <row r="107" spans="1:16" s="194" customFormat="1" x14ac:dyDescent="0.2">
      <c r="N107" s="204"/>
    </row>
    <row r="108" spans="1:16" s="194" customFormat="1" x14ac:dyDescent="0.2">
      <c r="N108" s="204"/>
    </row>
    <row r="109" spans="1:16" s="194" customFormat="1" x14ac:dyDescent="0.2">
      <c r="N109" s="204"/>
    </row>
    <row r="110" spans="1:16" s="194" customFormat="1" x14ac:dyDescent="0.2">
      <c r="N110" s="204"/>
    </row>
    <row r="111" spans="1:16" s="194" customFormat="1" x14ac:dyDescent="0.2">
      <c r="N111" s="204"/>
    </row>
    <row r="112" spans="1:16" s="194" customFormat="1" x14ac:dyDescent="0.2">
      <c r="N112" s="204"/>
    </row>
    <row r="113" spans="14:14" s="194" customFormat="1" x14ac:dyDescent="0.2">
      <c r="N113" s="204"/>
    </row>
    <row r="114" spans="14:14" s="194" customFormat="1" x14ac:dyDescent="0.2">
      <c r="N114" s="204"/>
    </row>
    <row r="115" spans="14:14" s="194" customFormat="1" x14ac:dyDescent="0.2">
      <c r="N115" s="204"/>
    </row>
    <row r="116" spans="14:14" s="194" customFormat="1" x14ac:dyDescent="0.2">
      <c r="N116" s="204"/>
    </row>
    <row r="117" spans="14:14" s="194" customFormat="1" x14ac:dyDescent="0.2">
      <c r="N117" s="204"/>
    </row>
    <row r="118" spans="14:14" s="194" customFormat="1" x14ac:dyDescent="0.2">
      <c r="N118" s="204"/>
    </row>
    <row r="119" spans="14:14" s="194" customFormat="1" x14ac:dyDescent="0.2">
      <c r="N119" s="204"/>
    </row>
    <row r="120" spans="14:14" s="194" customFormat="1" x14ac:dyDescent="0.2">
      <c r="N120" s="204"/>
    </row>
    <row r="121" spans="14:14" s="194" customFormat="1" x14ac:dyDescent="0.2">
      <c r="N121" s="204"/>
    </row>
    <row r="122" spans="14:14" s="194" customFormat="1" x14ac:dyDescent="0.2">
      <c r="N122" s="204"/>
    </row>
    <row r="123" spans="14:14" s="194" customFormat="1" x14ac:dyDescent="0.2">
      <c r="N123" s="204"/>
    </row>
    <row r="124" spans="14:14" s="194" customFormat="1" x14ac:dyDescent="0.2">
      <c r="N124" s="204"/>
    </row>
    <row r="125" spans="14:14" s="194" customFormat="1" x14ac:dyDescent="0.2">
      <c r="N125" s="204"/>
    </row>
    <row r="126" spans="14:14" s="194" customFormat="1" x14ac:dyDescent="0.2">
      <c r="N126" s="204"/>
    </row>
    <row r="127" spans="14:14" s="194" customFormat="1" x14ac:dyDescent="0.2">
      <c r="N127" s="204"/>
    </row>
    <row r="128" spans="14:14" s="194" customFormat="1" x14ac:dyDescent="0.2">
      <c r="N128" s="204"/>
    </row>
    <row r="129" spans="14:14" s="194" customFormat="1" x14ac:dyDescent="0.2">
      <c r="N129" s="204"/>
    </row>
    <row r="130" spans="14:14" s="194" customFormat="1" x14ac:dyDescent="0.2">
      <c r="N130" s="204"/>
    </row>
    <row r="131" spans="14:14" s="194" customFormat="1" x14ac:dyDescent="0.2">
      <c r="N131" s="204"/>
    </row>
    <row r="132" spans="14:14" s="194" customFormat="1" x14ac:dyDescent="0.2">
      <c r="N132" s="204"/>
    </row>
    <row r="133" spans="14:14" s="194" customFormat="1" x14ac:dyDescent="0.2">
      <c r="N133" s="204"/>
    </row>
    <row r="134" spans="14:14" s="194" customFormat="1" x14ac:dyDescent="0.2">
      <c r="N134" s="204"/>
    </row>
    <row r="135" spans="14:14" s="194" customFormat="1" x14ac:dyDescent="0.2">
      <c r="N135" s="204"/>
    </row>
    <row r="136" spans="14:14" s="194" customFormat="1" x14ac:dyDescent="0.2">
      <c r="N136" s="204"/>
    </row>
    <row r="137" spans="14:14" s="194" customFormat="1" x14ac:dyDescent="0.2">
      <c r="N137" s="204"/>
    </row>
    <row r="138" spans="14:14" s="194" customFormat="1" x14ac:dyDescent="0.2">
      <c r="N138" s="204"/>
    </row>
    <row r="139" spans="14:14" s="194" customFormat="1" x14ac:dyDescent="0.2">
      <c r="N139" s="204"/>
    </row>
    <row r="140" spans="14:14" s="194" customFormat="1" x14ac:dyDescent="0.2">
      <c r="N140" s="204"/>
    </row>
    <row r="141" spans="14:14" s="194" customFormat="1" x14ac:dyDescent="0.2">
      <c r="N141" s="204"/>
    </row>
    <row r="142" spans="14:14" s="194" customFormat="1" x14ac:dyDescent="0.2">
      <c r="N142" s="204"/>
    </row>
    <row r="143" spans="14:14" s="194" customFormat="1" x14ac:dyDescent="0.2">
      <c r="N143" s="204"/>
    </row>
    <row r="144" spans="14:14" s="194" customFormat="1" x14ac:dyDescent="0.2">
      <c r="N144" s="204"/>
    </row>
    <row r="145" spans="14:14" s="194" customFormat="1" x14ac:dyDescent="0.2">
      <c r="N145" s="204"/>
    </row>
    <row r="146" spans="14:14" s="194" customFormat="1" x14ac:dyDescent="0.2">
      <c r="N146" s="204"/>
    </row>
    <row r="147" spans="14:14" s="194" customFormat="1" x14ac:dyDescent="0.2">
      <c r="N147" s="204"/>
    </row>
    <row r="148" spans="14:14" s="194" customFormat="1" x14ac:dyDescent="0.2">
      <c r="N148" s="204"/>
    </row>
    <row r="149" spans="14:14" s="194" customFormat="1" x14ac:dyDescent="0.2">
      <c r="N149" s="204"/>
    </row>
    <row r="150" spans="14:14" s="194" customFormat="1" x14ac:dyDescent="0.2">
      <c r="N150" s="204"/>
    </row>
    <row r="151" spans="14:14" s="194" customFormat="1" x14ac:dyDescent="0.2">
      <c r="N151" s="204"/>
    </row>
    <row r="152" spans="14:14" s="194" customFormat="1" x14ac:dyDescent="0.2">
      <c r="N152" s="204"/>
    </row>
    <row r="153" spans="14:14" s="194" customFormat="1" x14ac:dyDescent="0.2">
      <c r="N153" s="204"/>
    </row>
    <row r="154" spans="14:14" s="194" customFormat="1" x14ac:dyDescent="0.2">
      <c r="N154" s="204"/>
    </row>
    <row r="155" spans="14:14" s="194" customFormat="1" x14ac:dyDescent="0.2">
      <c r="N155" s="204"/>
    </row>
    <row r="156" spans="14:14" s="194" customFormat="1" x14ac:dyDescent="0.2">
      <c r="N156" s="204"/>
    </row>
    <row r="157" spans="14:14" s="194" customFormat="1" x14ac:dyDescent="0.2">
      <c r="N157" s="204"/>
    </row>
    <row r="158" spans="14:14" s="194" customFormat="1" x14ac:dyDescent="0.2">
      <c r="N158" s="204"/>
    </row>
    <row r="159" spans="14:14" s="194" customFormat="1" x14ac:dyDescent="0.2">
      <c r="N159" s="204"/>
    </row>
    <row r="160" spans="14:14" s="194" customFormat="1" x14ac:dyDescent="0.2">
      <c r="N160" s="204"/>
    </row>
    <row r="161" spans="14:14" s="194" customFormat="1" x14ac:dyDescent="0.2">
      <c r="N161" s="204"/>
    </row>
    <row r="162" spans="14:14" s="194" customFormat="1" x14ac:dyDescent="0.2">
      <c r="N162" s="204"/>
    </row>
  </sheetData>
  <mergeCells count="21">
    <mergeCell ref="E100:P100"/>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 ref="A103:B103"/>
    <mergeCell ref="A100:A101"/>
    <mergeCell ref="B100:B101"/>
    <mergeCell ref="C100:C101"/>
    <mergeCell ref="D100:D10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H46" sqref="H46"/>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95" t="str">
        <f>'1. паспорт местоположение'!A5:C5</f>
        <v>Год раскрытия информации: 2024 год</v>
      </c>
      <c r="B5" s="295"/>
      <c r="C5" s="295"/>
      <c r="D5" s="295"/>
      <c r="E5" s="295"/>
      <c r="F5" s="295"/>
      <c r="G5" s="295"/>
      <c r="H5" s="295"/>
      <c r="I5" s="295"/>
      <c r="J5" s="295"/>
      <c r="K5" s="295"/>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04" t="s">
        <v>7</v>
      </c>
      <c r="B7" s="304"/>
      <c r="C7" s="304"/>
      <c r="D7" s="304"/>
      <c r="E7" s="304"/>
      <c r="F7" s="304"/>
      <c r="G7" s="304"/>
      <c r="H7" s="304"/>
      <c r="I7" s="304"/>
      <c r="J7" s="304"/>
      <c r="K7" s="304"/>
    </row>
    <row r="8" spans="1:43" ht="18.75" x14ac:dyDescent="0.25">
      <c r="A8" s="304"/>
      <c r="B8" s="304"/>
      <c r="C8" s="304"/>
      <c r="D8" s="304"/>
      <c r="E8" s="304"/>
      <c r="F8" s="304"/>
      <c r="G8" s="304"/>
      <c r="H8" s="304"/>
      <c r="I8" s="304"/>
      <c r="J8" s="304"/>
      <c r="K8" s="304"/>
    </row>
    <row r="9" spans="1:43" x14ac:dyDescent="0.25">
      <c r="A9" s="302" t="str">
        <f>'1. паспорт местоположение'!A9:C9</f>
        <v xml:space="preserve">Акционерное общество "Западная энергетическая компания" </v>
      </c>
      <c r="B9" s="302"/>
      <c r="C9" s="302"/>
      <c r="D9" s="302"/>
      <c r="E9" s="302"/>
      <c r="F9" s="302"/>
      <c r="G9" s="302"/>
      <c r="H9" s="302"/>
      <c r="I9" s="302"/>
      <c r="J9" s="302"/>
      <c r="K9" s="302"/>
    </row>
    <row r="10" spans="1:43" x14ac:dyDescent="0.25">
      <c r="A10" s="308" t="s">
        <v>6</v>
      </c>
      <c r="B10" s="308"/>
      <c r="C10" s="308"/>
      <c r="D10" s="308"/>
      <c r="E10" s="308"/>
      <c r="F10" s="308"/>
      <c r="G10" s="308"/>
      <c r="H10" s="308"/>
      <c r="I10" s="308"/>
      <c r="J10" s="308"/>
      <c r="K10" s="308"/>
    </row>
    <row r="11" spans="1:43" ht="18.75" x14ac:dyDescent="0.25">
      <c r="A11" s="304"/>
      <c r="B11" s="304"/>
      <c r="C11" s="304"/>
      <c r="D11" s="304"/>
      <c r="E11" s="304"/>
      <c r="F11" s="304"/>
      <c r="G11" s="304"/>
      <c r="H11" s="304"/>
      <c r="I11" s="304"/>
      <c r="J11" s="304"/>
      <c r="K11" s="304"/>
    </row>
    <row r="12" spans="1:43" x14ac:dyDescent="0.25">
      <c r="A12" s="302" t="str">
        <f>'1. паспорт местоположение'!A12:C12</f>
        <v>J_19-05</v>
      </c>
      <c r="B12" s="302"/>
      <c r="C12" s="302"/>
      <c r="D12" s="302"/>
      <c r="E12" s="302"/>
      <c r="F12" s="302"/>
      <c r="G12" s="302"/>
      <c r="H12" s="302"/>
      <c r="I12" s="302"/>
      <c r="J12" s="302"/>
      <c r="K12" s="302"/>
    </row>
    <row r="13" spans="1:43" x14ac:dyDescent="0.25">
      <c r="A13" s="308" t="s">
        <v>5</v>
      </c>
      <c r="B13" s="308"/>
      <c r="C13" s="308"/>
      <c r="D13" s="308"/>
      <c r="E13" s="308"/>
      <c r="F13" s="308"/>
      <c r="G13" s="308"/>
      <c r="H13" s="308"/>
      <c r="I13" s="308"/>
      <c r="J13" s="308"/>
      <c r="K13" s="308"/>
    </row>
    <row r="14" spans="1:43" ht="18.75" x14ac:dyDescent="0.25">
      <c r="A14" s="309"/>
      <c r="B14" s="309"/>
      <c r="C14" s="309"/>
      <c r="D14" s="309"/>
      <c r="E14" s="309"/>
      <c r="F14" s="309"/>
      <c r="G14" s="309"/>
      <c r="H14" s="309"/>
      <c r="I14" s="309"/>
      <c r="J14" s="309"/>
      <c r="K14" s="309"/>
    </row>
    <row r="15" spans="1:43" x14ac:dyDescent="0.25">
      <c r="A15" s="310" t="str">
        <f>'1. паспорт местоположение'!A15:C15</f>
        <v>Реконструкция ТП 10/6кВ  ТП-1 с заменой ячейки КРУ-10 кВ с маслянными выключателями, с РЗА на базе электромеханики КРУ-10 кВ  с вакуумными выключателями, с РЗА и ПА на микропроцессорной базе 24 шт., с заменой трансформатора собственных нужд ТСН-2, мощностью 100 кВА, Калининград, ул. Ялтинская 66</v>
      </c>
      <c r="B15" s="310"/>
      <c r="C15" s="310"/>
      <c r="D15" s="310"/>
      <c r="E15" s="310"/>
      <c r="F15" s="310"/>
      <c r="G15" s="310"/>
      <c r="H15" s="310"/>
      <c r="I15" s="310"/>
      <c r="J15" s="310"/>
      <c r="K15" s="310"/>
    </row>
    <row r="16" spans="1:43" x14ac:dyDescent="0.25">
      <c r="A16" s="296" t="s">
        <v>4</v>
      </c>
      <c r="B16" s="296"/>
      <c r="C16" s="296"/>
      <c r="D16" s="296"/>
      <c r="E16" s="296"/>
      <c r="F16" s="296"/>
      <c r="G16" s="296"/>
      <c r="H16" s="296"/>
      <c r="I16" s="296"/>
      <c r="J16" s="296"/>
      <c r="K16" s="296"/>
    </row>
    <row r="17" spans="1:11" ht="15.75" customHeight="1" x14ac:dyDescent="0.25"/>
    <row r="18" spans="1:11" x14ac:dyDescent="0.25">
      <c r="K18" s="24"/>
    </row>
    <row r="19" spans="1:11" ht="15.75" customHeight="1" x14ac:dyDescent="0.25">
      <c r="A19" s="359" t="s">
        <v>391</v>
      </c>
      <c r="B19" s="359"/>
      <c r="C19" s="359"/>
      <c r="D19" s="359"/>
      <c r="E19" s="359"/>
      <c r="F19" s="359"/>
      <c r="G19" s="359"/>
      <c r="H19" s="359"/>
      <c r="I19" s="359"/>
      <c r="J19" s="359"/>
      <c r="K19" s="359"/>
    </row>
    <row r="20" spans="1:11" x14ac:dyDescent="0.25">
      <c r="A20" s="35"/>
      <c r="B20" s="35"/>
    </row>
    <row r="21" spans="1:11" ht="28.5" customHeight="1" x14ac:dyDescent="0.25">
      <c r="A21" s="354" t="s">
        <v>199</v>
      </c>
      <c r="B21" s="354" t="s">
        <v>483</v>
      </c>
      <c r="C21" s="354" t="s">
        <v>350</v>
      </c>
      <c r="D21" s="354"/>
      <c r="E21" s="354"/>
      <c r="F21" s="354"/>
      <c r="G21" s="354"/>
      <c r="H21" s="354"/>
      <c r="I21" s="354" t="s">
        <v>198</v>
      </c>
      <c r="J21" s="355" t="s">
        <v>351</v>
      </c>
      <c r="K21" s="354" t="s">
        <v>197</v>
      </c>
    </row>
    <row r="22" spans="1:11" ht="58.5" customHeight="1" x14ac:dyDescent="0.25">
      <c r="A22" s="354"/>
      <c r="B22" s="354"/>
      <c r="C22" s="358" t="s">
        <v>534</v>
      </c>
      <c r="D22" s="358"/>
      <c r="E22" s="358" t="s">
        <v>9</v>
      </c>
      <c r="F22" s="358"/>
      <c r="G22" s="358" t="s">
        <v>535</v>
      </c>
      <c r="H22" s="358"/>
      <c r="I22" s="354"/>
      <c r="J22" s="356"/>
      <c r="K22" s="354"/>
    </row>
    <row r="23" spans="1:11" ht="31.5" x14ac:dyDescent="0.25">
      <c r="A23" s="354"/>
      <c r="B23" s="354"/>
      <c r="C23" s="157" t="s">
        <v>196</v>
      </c>
      <c r="D23" s="157" t="s">
        <v>195</v>
      </c>
      <c r="E23" s="157" t="s">
        <v>196</v>
      </c>
      <c r="F23" s="157" t="s">
        <v>195</v>
      </c>
      <c r="G23" s="157" t="s">
        <v>196</v>
      </c>
      <c r="H23" s="157" t="s">
        <v>195</v>
      </c>
      <c r="I23" s="354"/>
      <c r="J23" s="357"/>
      <c r="K23" s="354"/>
    </row>
    <row r="24" spans="1:11" x14ac:dyDescent="0.25">
      <c r="A24" s="158">
        <v>1</v>
      </c>
      <c r="B24" s="158">
        <v>2</v>
      </c>
      <c r="C24" s="157">
        <v>3</v>
      </c>
      <c r="D24" s="157">
        <v>4</v>
      </c>
      <c r="E24" s="157">
        <v>5</v>
      </c>
      <c r="F24" s="157">
        <v>6</v>
      </c>
      <c r="G24" s="157">
        <v>7</v>
      </c>
      <c r="H24" s="157">
        <v>8</v>
      </c>
      <c r="I24" s="157">
        <v>9</v>
      </c>
      <c r="J24" s="157">
        <v>10</v>
      </c>
      <c r="K24" s="157">
        <v>11</v>
      </c>
    </row>
    <row r="25" spans="1:11" x14ac:dyDescent="0.25">
      <c r="A25" s="157">
        <v>1</v>
      </c>
      <c r="B25" s="162" t="s">
        <v>194</v>
      </c>
      <c r="C25" s="163"/>
      <c r="D25" s="163"/>
      <c r="E25" s="171"/>
      <c r="F25" s="171"/>
      <c r="G25" s="171"/>
      <c r="H25" s="171"/>
      <c r="I25" s="171"/>
      <c r="J25" s="153"/>
      <c r="K25" s="154"/>
    </row>
    <row r="26" spans="1:11" x14ac:dyDescent="0.25">
      <c r="A26" s="157" t="s">
        <v>484</v>
      </c>
      <c r="B26" s="166" t="s">
        <v>485</v>
      </c>
      <c r="C26" s="163" t="s">
        <v>434</v>
      </c>
      <c r="D26" s="163" t="s">
        <v>434</v>
      </c>
      <c r="E26" s="172">
        <v>42859</v>
      </c>
      <c r="F26" s="172">
        <v>42859</v>
      </c>
      <c r="G26" s="172" t="s">
        <v>434</v>
      </c>
      <c r="H26" s="172" t="s">
        <v>434</v>
      </c>
      <c r="I26" s="173"/>
      <c r="J26" s="153"/>
      <c r="K26" s="154"/>
    </row>
    <row r="27" spans="1:11" ht="31.5" x14ac:dyDescent="0.25">
      <c r="A27" s="157" t="s">
        <v>486</v>
      </c>
      <c r="B27" s="166" t="s">
        <v>487</v>
      </c>
      <c r="C27" s="163" t="s">
        <v>434</v>
      </c>
      <c r="D27" s="163" t="s">
        <v>434</v>
      </c>
      <c r="E27" s="172">
        <v>42807</v>
      </c>
      <c r="F27" s="172">
        <v>42807</v>
      </c>
      <c r="G27" s="172" t="s">
        <v>434</v>
      </c>
      <c r="H27" s="172" t="s">
        <v>434</v>
      </c>
      <c r="I27" s="173"/>
      <c r="J27" s="153"/>
      <c r="K27" s="154"/>
    </row>
    <row r="28" spans="1:11" ht="63" x14ac:dyDescent="0.25">
      <c r="A28" s="157" t="s">
        <v>489</v>
      </c>
      <c r="B28" s="166" t="s">
        <v>488</v>
      </c>
      <c r="C28" s="163" t="s">
        <v>434</v>
      </c>
      <c r="D28" s="163" t="s">
        <v>434</v>
      </c>
      <c r="E28" s="172" t="s">
        <v>434</v>
      </c>
      <c r="F28" s="172" t="s">
        <v>434</v>
      </c>
      <c r="G28" s="172" t="s">
        <v>434</v>
      </c>
      <c r="H28" s="172" t="s">
        <v>434</v>
      </c>
      <c r="I28" s="173"/>
      <c r="J28" s="153"/>
      <c r="K28" s="154"/>
    </row>
    <row r="29" spans="1:11" ht="31.5" x14ac:dyDescent="0.25">
      <c r="A29" s="157" t="s">
        <v>491</v>
      </c>
      <c r="B29" s="166" t="s">
        <v>490</v>
      </c>
      <c r="C29" s="163" t="s">
        <v>434</v>
      </c>
      <c r="D29" s="163" t="s">
        <v>434</v>
      </c>
      <c r="E29" s="172" t="s">
        <v>434</v>
      </c>
      <c r="F29" s="172" t="s">
        <v>434</v>
      </c>
      <c r="G29" s="172" t="s">
        <v>434</v>
      </c>
      <c r="H29" s="172" t="s">
        <v>434</v>
      </c>
      <c r="I29" s="173"/>
      <c r="J29" s="153"/>
      <c r="K29" s="154"/>
    </row>
    <row r="30" spans="1:11" ht="31.5" x14ac:dyDescent="0.25">
      <c r="A30" s="157" t="s">
        <v>493</v>
      </c>
      <c r="B30" s="166" t="s">
        <v>492</v>
      </c>
      <c r="C30" s="163" t="s">
        <v>434</v>
      </c>
      <c r="D30" s="163" t="s">
        <v>434</v>
      </c>
      <c r="E30" s="172" t="s">
        <v>434</v>
      </c>
      <c r="F30" s="172" t="s">
        <v>434</v>
      </c>
      <c r="G30" s="172" t="s">
        <v>434</v>
      </c>
      <c r="H30" s="172" t="s">
        <v>434</v>
      </c>
      <c r="I30" s="173"/>
      <c r="J30" s="153"/>
      <c r="K30" s="154"/>
    </row>
    <row r="31" spans="1:11" ht="31.5" x14ac:dyDescent="0.25">
      <c r="A31" s="157" t="s">
        <v>495</v>
      </c>
      <c r="B31" s="166" t="s">
        <v>494</v>
      </c>
      <c r="C31" s="163">
        <v>44562</v>
      </c>
      <c r="D31" s="163">
        <v>44592</v>
      </c>
      <c r="E31" s="172">
        <v>41806</v>
      </c>
      <c r="F31" s="172">
        <v>41806</v>
      </c>
      <c r="G31" s="172">
        <v>44562</v>
      </c>
      <c r="H31" s="172">
        <v>44592</v>
      </c>
      <c r="I31" s="173"/>
      <c r="J31" s="153"/>
      <c r="K31" s="154"/>
    </row>
    <row r="32" spans="1:11" ht="31.5" x14ac:dyDescent="0.25">
      <c r="A32" s="157" t="s">
        <v>497</v>
      </c>
      <c r="B32" s="166" t="s">
        <v>496</v>
      </c>
      <c r="C32" s="163">
        <v>44593</v>
      </c>
      <c r="D32" s="163" t="s">
        <v>580</v>
      </c>
      <c r="E32" s="172">
        <v>42597</v>
      </c>
      <c r="F32" s="172">
        <v>42597</v>
      </c>
      <c r="G32" s="172">
        <v>44593</v>
      </c>
      <c r="H32" s="172" t="s">
        <v>580</v>
      </c>
      <c r="I32" s="173"/>
      <c r="J32" s="153"/>
      <c r="K32" s="154"/>
    </row>
    <row r="33" spans="1:11" ht="47.25" x14ac:dyDescent="0.25">
      <c r="A33" s="157" t="s">
        <v>499</v>
      </c>
      <c r="B33" s="166" t="s">
        <v>498</v>
      </c>
      <c r="C33" s="163" t="s">
        <v>434</v>
      </c>
      <c r="D33" s="163" t="s">
        <v>434</v>
      </c>
      <c r="E33" s="172">
        <v>42720</v>
      </c>
      <c r="F33" s="172">
        <v>42720</v>
      </c>
      <c r="G33" s="172" t="s">
        <v>434</v>
      </c>
      <c r="H33" s="172" t="s">
        <v>434</v>
      </c>
      <c r="I33" s="173"/>
      <c r="J33" s="153"/>
      <c r="K33" s="154"/>
    </row>
    <row r="34" spans="1:11" ht="63" x14ac:dyDescent="0.25">
      <c r="A34" s="157" t="s">
        <v>501</v>
      </c>
      <c r="B34" s="166" t="s">
        <v>500</v>
      </c>
      <c r="C34" s="163" t="s">
        <v>434</v>
      </c>
      <c r="D34" s="163" t="s">
        <v>434</v>
      </c>
      <c r="E34" s="172" t="s">
        <v>434</v>
      </c>
      <c r="F34" s="172" t="s">
        <v>434</v>
      </c>
      <c r="G34" s="172" t="s">
        <v>434</v>
      </c>
      <c r="H34" s="172" t="s">
        <v>434</v>
      </c>
      <c r="I34" s="173"/>
      <c r="J34" s="155"/>
      <c r="K34" s="155"/>
    </row>
    <row r="35" spans="1:11" ht="31.5" x14ac:dyDescent="0.25">
      <c r="A35" s="157" t="s">
        <v>502</v>
      </c>
      <c r="B35" s="166" t="s">
        <v>193</v>
      </c>
      <c r="C35" s="163">
        <v>44651</v>
      </c>
      <c r="D35" s="163">
        <v>44666</v>
      </c>
      <c r="E35" s="172">
        <v>42731</v>
      </c>
      <c r="F35" s="172">
        <v>42731</v>
      </c>
      <c r="G35" s="172">
        <v>44651</v>
      </c>
      <c r="H35" s="172">
        <v>44666</v>
      </c>
      <c r="I35" s="173"/>
      <c r="J35" s="155"/>
      <c r="K35" s="155"/>
    </row>
    <row r="36" spans="1:11" ht="31.5" x14ac:dyDescent="0.25">
      <c r="A36" s="157" t="s">
        <v>504</v>
      </c>
      <c r="B36" s="166" t="s">
        <v>503</v>
      </c>
      <c r="C36" s="163" t="s">
        <v>434</v>
      </c>
      <c r="D36" s="163" t="s">
        <v>434</v>
      </c>
      <c r="E36" s="172">
        <v>42993</v>
      </c>
      <c r="F36" s="172">
        <v>42993</v>
      </c>
      <c r="G36" s="172" t="s">
        <v>434</v>
      </c>
      <c r="H36" s="172" t="s">
        <v>434</v>
      </c>
      <c r="I36" s="173"/>
      <c r="J36" s="165"/>
      <c r="K36" s="154"/>
    </row>
    <row r="37" spans="1:11" x14ac:dyDescent="0.25">
      <c r="A37" s="157" t="s">
        <v>505</v>
      </c>
      <c r="B37" s="166" t="s">
        <v>192</v>
      </c>
      <c r="C37" s="163">
        <v>44666</v>
      </c>
      <c r="D37" s="163">
        <v>44671</v>
      </c>
      <c r="E37" s="172">
        <v>43054</v>
      </c>
      <c r="F37" s="172">
        <v>43305</v>
      </c>
      <c r="G37" s="172">
        <v>44666</v>
      </c>
      <c r="H37" s="172">
        <v>44671</v>
      </c>
      <c r="I37" s="173"/>
      <c r="J37" s="156"/>
      <c r="K37" s="154"/>
    </row>
    <row r="38" spans="1:11" x14ac:dyDescent="0.25">
      <c r="A38" s="164" t="s">
        <v>506</v>
      </c>
      <c r="B38" s="167" t="s">
        <v>191</v>
      </c>
      <c r="C38" s="163"/>
      <c r="D38" s="163"/>
      <c r="E38" s="172"/>
      <c r="F38" s="172"/>
      <c r="G38" s="172"/>
      <c r="H38" s="172"/>
      <c r="I38" s="173"/>
      <c r="J38" s="154"/>
      <c r="K38" s="154"/>
    </row>
    <row r="39" spans="1:11" ht="63" x14ac:dyDescent="0.25">
      <c r="A39" s="157" t="s">
        <v>508</v>
      </c>
      <c r="B39" s="166" t="s">
        <v>507</v>
      </c>
      <c r="C39" s="163">
        <v>44635</v>
      </c>
      <c r="D39" s="163">
        <v>44652</v>
      </c>
      <c r="E39" s="172">
        <v>42843</v>
      </c>
      <c r="F39" s="172">
        <v>42843</v>
      </c>
      <c r="G39" s="172">
        <v>44635</v>
      </c>
      <c r="H39" s="172">
        <v>44652</v>
      </c>
      <c r="I39" s="173"/>
      <c r="J39" s="154"/>
      <c r="K39" s="154"/>
    </row>
    <row r="40" spans="1:11" x14ac:dyDescent="0.25">
      <c r="A40" s="157" t="s">
        <v>510</v>
      </c>
      <c r="B40" s="166" t="s">
        <v>509</v>
      </c>
      <c r="C40" s="163">
        <v>44682</v>
      </c>
      <c r="D40" s="163">
        <v>45139</v>
      </c>
      <c r="E40" s="172">
        <v>43038</v>
      </c>
      <c r="F40" s="172">
        <v>43038</v>
      </c>
      <c r="G40" s="172">
        <v>44682</v>
      </c>
      <c r="H40" s="172">
        <v>45139</v>
      </c>
      <c r="I40" s="173"/>
      <c r="J40" s="154"/>
      <c r="K40" s="154"/>
    </row>
    <row r="41" spans="1:11" ht="47.25" x14ac:dyDescent="0.25">
      <c r="A41" s="157" t="s">
        <v>512</v>
      </c>
      <c r="B41" s="167" t="s">
        <v>511</v>
      </c>
      <c r="C41" s="163"/>
      <c r="D41" s="163"/>
      <c r="E41" s="172"/>
      <c r="F41" s="172"/>
      <c r="G41" s="172"/>
      <c r="H41" s="172"/>
      <c r="I41" s="173"/>
      <c r="J41" s="154"/>
      <c r="K41" s="154"/>
    </row>
    <row r="42" spans="1:11" ht="31.5" x14ac:dyDescent="0.25">
      <c r="A42" s="157" t="s">
        <v>514</v>
      </c>
      <c r="B42" s="166" t="s">
        <v>513</v>
      </c>
      <c r="C42" s="163">
        <v>44652</v>
      </c>
      <c r="D42" s="163">
        <v>44682</v>
      </c>
      <c r="E42" s="172">
        <v>43070</v>
      </c>
      <c r="F42" s="172">
        <v>43097</v>
      </c>
      <c r="G42" s="172">
        <v>44652</v>
      </c>
      <c r="H42" s="172">
        <v>44682</v>
      </c>
      <c r="I42" s="173"/>
      <c r="J42" s="154"/>
      <c r="K42" s="154"/>
    </row>
    <row r="43" spans="1:11" ht="25.5" x14ac:dyDescent="0.25">
      <c r="A43" s="157" t="s">
        <v>515</v>
      </c>
      <c r="B43" s="166" t="s">
        <v>190</v>
      </c>
      <c r="C43" s="182" t="s">
        <v>581</v>
      </c>
      <c r="D43" s="182">
        <v>45214</v>
      </c>
      <c r="E43" s="172">
        <v>43054</v>
      </c>
      <c r="F43" s="172">
        <v>43218</v>
      </c>
      <c r="G43" s="172" t="s">
        <v>581</v>
      </c>
      <c r="H43" s="172">
        <v>45214</v>
      </c>
      <c r="I43" s="173"/>
      <c r="J43" s="154"/>
      <c r="K43" s="154"/>
    </row>
    <row r="44" spans="1:11" x14ac:dyDescent="0.25">
      <c r="A44" s="157" t="s">
        <v>516</v>
      </c>
      <c r="B44" s="166" t="s">
        <v>189</v>
      </c>
      <c r="C44" s="182">
        <v>44849</v>
      </c>
      <c r="D44" s="182">
        <v>45352</v>
      </c>
      <c r="E44" s="172">
        <v>43084</v>
      </c>
      <c r="F44" s="172">
        <v>43266</v>
      </c>
      <c r="G44" s="172">
        <v>44849</v>
      </c>
      <c r="H44" s="172">
        <v>45566</v>
      </c>
      <c r="I44" s="173"/>
      <c r="J44" s="154"/>
      <c r="K44" s="154"/>
    </row>
    <row r="45" spans="1:11" ht="78.75" x14ac:dyDescent="0.25">
      <c r="A45" s="157" t="s">
        <v>518</v>
      </c>
      <c r="B45" s="166" t="s">
        <v>517</v>
      </c>
      <c r="C45" s="182">
        <v>45392</v>
      </c>
      <c r="D45" s="182">
        <v>45422</v>
      </c>
      <c r="E45" s="172">
        <v>43343</v>
      </c>
      <c r="F45" s="172">
        <v>43343</v>
      </c>
      <c r="G45" s="172">
        <v>45545</v>
      </c>
      <c r="H45" s="172">
        <v>45606</v>
      </c>
      <c r="I45" s="173"/>
      <c r="J45" s="154"/>
      <c r="K45" s="154"/>
    </row>
    <row r="46" spans="1:11" ht="157.5" x14ac:dyDescent="0.25">
      <c r="A46" s="157" t="s">
        <v>520</v>
      </c>
      <c r="B46" s="166" t="s">
        <v>519</v>
      </c>
      <c r="C46" s="182"/>
      <c r="D46" s="182"/>
      <c r="E46" s="172">
        <v>43319</v>
      </c>
      <c r="F46" s="172">
        <v>43319</v>
      </c>
      <c r="G46" s="172"/>
      <c r="H46" s="172"/>
      <c r="I46" s="173"/>
      <c r="J46" s="154"/>
      <c r="K46" s="154"/>
    </row>
    <row r="47" spans="1:11" x14ac:dyDescent="0.25">
      <c r="A47" s="157" t="s">
        <v>530</v>
      </c>
      <c r="B47" s="166" t="s">
        <v>188</v>
      </c>
      <c r="C47" s="183">
        <v>45352</v>
      </c>
      <c r="D47" s="182">
        <v>45383</v>
      </c>
      <c r="E47" s="172">
        <v>43220</v>
      </c>
      <c r="F47" s="172">
        <v>43318</v>
      </c>
      <c r="G47" s="172">
        <v>45566</v>
      </c>
      <c r="H47" s="172">
        <v>45597</v>
      </c>
      <c r="I47" s="173"/>
      <c r="J47" s="154"/>
      <c r="K47" s="154"/>
    </row>
    <row r="48" spans="1:11" ht="31.5" x14ac:dyDescent="0.25">
      <c r="A48" s="157" t="s">
        <v>521</v>
      </c>
      <c r="B48" s="167" t="s">
        <v>187</v>
      </c>
      <c r="C48" s="163"/>
      <c r="D48" s="163"/>
      <c r="E48" s="172"/>
      <c r="F48" s="172"/>
      <c r="G48" s="172"/>
      <c r="H48" s="172"/>
      <c r="I48" s="173"/>
      <c r="J48" s="154"/>
      <c r="K48" s="154"/>
    </row>
    <row r="49" spans="1:11" ht="31.5" x14ac:dyDescent="0.25">
      <c r="A49" s="157" t="s">
        <v>531</v>
      </c>
      <c r="B49" s="166" t="s">
        <v>186</v>
      </c>
      <c r="C49" s="163">
        <v>45423</v>
      </c>
      <c r="D49" s="163">
        <v>45432</v>
      </c>
      <c r="E49" s="172">
        <v>43318</v>
      </c>
      <c r="F49" s="172">
        <v>43320</v>
      </c>
      <c r="G49" s="172">
        <v>45576</v>
      </c>
      <c r="H49" s="172">
        <v>45616</v>
      </c>
      <c r="I49" s="173"/>
      <c r="J49" s="154"/>
      <c r="K49" s="154"/>
    </row>
    <row r="50" spans="1:11" ht="78.75" x14ac:dyDescent="0.25">
      <c r="A50" s="164" t="s">
        <v>523</v>
      </c>
      <c r="B50" s="166" t="s">
        <v>522</v>
      </c>
      <c r="C50" s="163">
        <v>45433</v>
      </c>
      <c r="D50" s="163">
        <v>45437</v>
      </c>
      <c r="E50" s="172">
        <v>43343</v>
      </c>
      <c r="F50" s="172">
        <v>43343</v>
      </c>
      <c r="G50" s="172">
        <v>45586</v>
      </c>
      <c r="H50" s="172">
        <v>45621</v>
      </c>
      <c r="I50" s="173"/>
      <c r="J50" s="154"/>
      <c r="K50" s="154"/>
    </row>
    <row r="51" spans="1:11" ht="63" x14ac:dyDescent="0.25">
      <c r="A51" s="157" t="s">
        <v>525</v>
      </c>
      <c r="B51" s="166" t="s">
        <v>524</v>
      </c>
      <c r="C51" s="163">
        <v>45438</v>
      </c>
      <c r="D51" s="163">
        <v>45469</v>
      </c>
      <c r="E51" s="172">
        <v>43343</v>
      </c>
      <c r="F51" s="172">
        <v>43343</v>
      </c>
      <c r="G51" s="172">
        <v>45591</v>
      </c>
      <c r="H51" s="172">
        <v>45622</v>
      </c>
      <c r="I51" s="173"/>
      <c r="J51" s="154"/>
      <c r="K51" s="154"/>
    </row>
    <row r="52" spans="1:11" ht="63" x14ac:dyDescent="0.25">
      <c r="A52" s="157" t="s">
        <v>526</v>
      </c>
      <c r="B52" s="166" t="s">
        <v>185</v>
      </c>
      <c r="C52" s="163" t="s">
        <v>434</v>
      </c>
      <c r="D52" s="163" t="s">
        <v>434</v>
      </c>
      <c r="E52" s="172"/>
      <c r="F52" s="172"/>
      <c r="G52" s="172" t="s">
        <v>434</v>
      </c>
      <c r="H52" s="172" t="s">
        <v>434</v>
      </c>
      <c r="I52" s="173"/>
      <c r="J52" s="154"/>
      <c r="K52" s="154"/>
    </row>
    <row r="53" spans="1:11" ht="31.5" x14ac:dyDescent="0.25">
      <c r="A53" s="157" t="s">
        <v>528</v>
      </c>
      <c r="B53" s="166" t="s">
        <v>527</v>
      </c>
      <c r="C53" s="184">
        <v>45384</v>
      </c>
      <c r="D53" s="163">
        <v>45386</v>
      </c>
      <c r="E53" s="172">
        <v>43343</v>
      </c>
      <c r="F53" s="172">
        <v>43343</v>
      </c>
      <c r="G53" s="172">
        <v>45628</v>
      </c>
      <c r="H53" s="172">
        <v>45630</v>
      </c>
      <c r="I53" s="173"/>
      <c r="J53" s="154"/>
      <c r="K53" s="154"/>
    </row>
    <row r="54" spans="1:11" ht="31.5" x14ac:dyDescent="0.25">
      <c r="A54" s="157" t="s">
        <v>532</v>
      </c>
      <c r="B54" s="166" t="s">
        <v>184</v>
      </c>
      <c r="C54" s="184">
        <v>45469</v>
      </c>
      <c r="D54" s="163">
        <v>45469</v>
      </c>
      <c r="E54" s="172">
        <v>43353</v>
      </c>
      <c r="F54" s="172">
        <v>43353</v>
      </c>
      <c r="G54" s="172">
        <v>45652</v>
      </c>
      <c r="H54" s="172">
        <v>45652</v>
      </c>
      <c r="I54" s="173"/>
      <c r="J54" s="154"/>
      <c r="K54" s="154"/>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2024-10-17T19:16:26Z</dcterms:modified>
</cp:coreProperties>
</file>