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I0424_1153926028850_39\Обоснование стоимости\O 24-03_ стоимости  Университетская\"/>
    </mc:Choice>
  </mc:AlternateContent>
  <xr:revisionPtr revIDLastSave="0" documentId="13_ncr:1_{26917AC7-2F70-4145-8976-C50193AF42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 прогнозных ценах" sheetId="15" r:id="rId1"/>
    <sheet name="Университетская" sheetId="13" r:id="rId2"/>
  </sheets>
  <definedNames>
    <definedName name="_xlnm._FilterDatabase" localSheetId="1" hidden="1">Университетская!$A$8:$Z$89</definedName>
    <definedName name="_xlnm.Print_Area" localSheetId="1">Университетская!$A$1:$R$118</definedName>
  </definedNames>
  <calcPr calcId="181029" fullPrecision="0" calcOnSave="0"/>
</workbook>
</file>

<file path=xl/calcChain.xml><?xml version="1.0" encoding="utf-8"?>
<calcChain xmlns="http://schemas.openxmlformats.org/spreadsheetml/2006/main">
  <c r="R73" i="13" l="1"/>
  <c r="Q73" i="13"/>
  <c r="P73" i="13"/>
  <c r="O73" i="13"/>
  <c r="N73" i="13"/>
  <c r="R48" i="13"/>
  <c r="Q48" i="13"/>
  <c r="N48" i="13"/>
  <c r="R47" i="13"/>
  <c r="Q47" i="13"/>
  <c r="P47" i="13"/>
  <c r="O47" i="13"/>
  <c r="N47" i="13"/>
  <c r="R14" i="13" l="1"/>
  <c r="Q14" i="13"/>
  <c r="P14" i="13"/>
  <c r="O14" i="13"/>
  <c r="N14" i="13"/>
  <c r="R13" i="13"/>
  <c r="Q13" i="13"/>
  <c r="P13" i="13"/>
  <c r="O13" i="13"/>
  <c r="N13" i="13"/>
  <c r="R65" i="13"/>
  <c r="Q65" i="13"/>
  <c r="P65" i="13"/>
  <c r="O65" i="13"/>
  <c r="N65" i="13"/>
  <c r="D30" i="15"/>
  <c r="D31" i="15"/>
  <c r="G29" i="15"/>
  <c r="F29" i="15"/>
  <c r="E29" i="15"/>
  <c r="D29" i="15"/>
  <c r="G28" i="15"/>
  <c r="D28" i="15"/>
  <c r="H28" i="15" s="1"/>
  <c r="H17" i="15"/>
  <c r="H16" i="15"/>
  <c r="H15" i="15"/>
  <c r="I15" i="15" s="1"/>
  <c r="H29" i="15" l="1"/>
  <c r="D32" i="15"/>
  <c r="R45" i="13" l="1"/>
  <c r="Q45" i="13"/>
  <c r="N45" i="13"/>
  <c r="R66" i="13"/>
  <c r="Q66" i="13"/>
  <c r="P66" i="13"/>
  <c r="O66" i="13"/>
  <c r="N66" i="13"/>
  <c r="I79" i="13" l="1"/>
  <c r="E79" i="13"/>
  <c r="N79" i="13" l="1"/>
  <c r="N89" i="13" l="1"/>
  <c r="P79" i="13" l="1"/>
  <c r="P89" i="13" l="1"/>
  <c r="F14" i="15"/>
  <c r="F30" i="15" s="1"/>
  <c r="F31" i="15" s="1"/>
  <c r="O79" i="13" l="1"/>
  <c r="O89" i="13" l="1"/>
  <c r="E14" i="15"/>
  <c r="Q79" i="13"/>
  <c r="R79" i="13" l="1"/>
  <c r="G14" i="15"/>
  <c r="G30" i="15" s="1"/>
  <c r="G31" i="15" s="1"/>
  <c r="E30" i="15"/>
  <c r="Q89" i="13"/>
  <c r="R89" i="13" s="1"/>
  <c r="H14" i="15" l="1"/>
  <c r="I14" i="15" s="1"/>
  <c r="E31" i="15"/>
  <c r="H31" i="15" s="1"/>
  <c r="I31" i="15" s="1"/>
  <c r="H30" i="15"/>
</calcChain>
</file>

<file path=xl/sharedStrings.xml><?xml version="1.0" encoding="utf-8"?>
<sst xmlns="http://schemas.openxmlformats.org/spreadsheetml/2006/main" count="347" uniqueCount="139">
  <si>
    <t>Номер п/п</t>
  </si>
  <si>
    <t>Код группы ОС для статистики</t>
  </si>
  <si>
    <t>Первоначальная стоимость для БУ</t>
  </si>
  <si>
    <t>Дата ввода в эксплуатацию</t>
  </si>
  <si>
    <t>Срок полезного использования</t>
  </si>
  <si>
    <t>Амортизационная группа для НУ</t>
  </si>
  <si>
    <t>Первоначальная стоимость для НУ</t>
  </si>
  <si>
    <t>Классификация ОС для исчисления налога на имущество (движимый, недвижимый)</t>
  </si>
  <si>
    <t>Протяженность линий, км (для ЛЭП)</t>
  </si>
  <si>
    <t>Расшифровка сумм по вводимым объектам НЗС</t>
  </si>
  <si>
    <t>Оборудование</t>
  </si>
  <si>
    <t>Прочие</t>
  </si>
  <si>
    <t>ВСЕГО</t>
  </si>
  <si>
    <t>движимое</t>
  </si>
  <si>
    <t xml:space="preserve">Наименование объекта строительства 
</t>
  </si>
  <si>
    <t xml:space="preserve">Срок полезного использования для НУ </t>
  </si>
  <si>
    <t xml:space="preserve">Инв. № основного средства  </t>
  </si>
  <si>
    <t xml:space="preserve">Наименование основного средства 
</t>
  </si>
  <si>
    <t>Сооружение</t>
  </si>
  <si>
    <t>недвижимое</t>
  </si>
  <si>
    <t>Монтажные работы</t>
  </si>
  <si>
    <t>Строительные работы</t>
  </si>
  <si>
    <t>машины и оборудование</t>
  </si>
  <si>
    <t>Здание</t>
  </si>
  <si>
    <t>84</t>
  </si>
  <si>
    <t>120</t>
  </si>
  <si>
    <t>5101498</t>
  </si>
  <si>
    <t xml:space="preserve">Кондиционер SYSPLIT WALL SMART 30 HP </t>
  </si>
  <si>
    <t xml:space="preserve">Кондиционер SYSPLIT WALL SMART 30 HP   </t>
  </si>
  <si>
    <t xml:space="preserve">Щит постоянного тока ЩПТ зав.№ 8562 </t>
  </si>
  <si>
    <t xml:space="preserve">Батарея аккумуляторная (104 элемента) 4OPzS 240                                                              </t>
  </si>
  <si>
    <t xml:space="preserve">Шкаф Ш2600 15.510 центральной сигнализации зав.№07756 </t>
  </si>
  <si>
    <t xml:space="preserve">Комплектное распределительное устройство КРУ 12 D24PL зав.№ 26953   </t>
  </si>
  <si>
    <t xml:space="preserve">Шкаф АСУ ТП, ТП №1 зав.№ 05207169 </t>
  </si>
  <si>
    <t xml:space="preserve">Шкаф АСУ ТП, ТП №2 зав.№ 05207170 </t>
  </si>
  <si>
    <t xml:space="preserve">Шкаф серверный зав.№05207168   </t>
  </si>
  <si>
    <t xml:space="preserve">Шкаф ЛВС АСУ ТП </t>
  </si>
  <si>
    <t xml:space="preserve">Мультиплексор KEYMILE XMC25 (узел свези ЗЭС) </t>
  </si>
  <si>
    <t>5150515</t>
  </si>
  <si>
    <t xml:space="preserve">Шкаф внутри объектовой связи </t>
  </si>
  <si>
    <t xml:space="preserve">Шкаф СКУ1, МС -240 зав.№011617 </t>
  </si>
  <si>
    <t xml:space="preserve">Шкаф СКУ2, МС -210 зав.№011618 </t>
  </si>
  <si>
    <t xml:space="preserve">Разъединитель РГ.1а-110. II/1000-40 УХЛ1;                              ШР Т-1 110 кВ зав.№ 17                                               </t>
  </si>
  <si>
    <t xml:space="preserve">Разъединитель РГ.1а-110. II/1000-40 УХЛ1;                              ШР Т-2 110 кВ зав.№ 21                                                          </t>
  </si>
  <si>
    <t xml:space="preserve">Устройство зарядно-выпрямительное NLT 80/220 зав.№2001187/1-1 </t>
  </si>
  <si>
    <t xml:space="preserve">Шкаф автоматики управления дугогасящими реакторами ЗНСОНС-0142.2-R зав.№20181        </t>
  </si>
  <si>
    <t xml:space="preserve">Шкаф ККЭ зав. № 70100034 </t>
  </si>
  <si>
    <t xml:space="preserve">Трансформатор тока ТОГФ-110 III УХЛ1, ТТ СВ 110 со стороны 1 с 110 кВ, фаза «А» зав.№ 7811                                                                                   </t>
  </si>
  <si>
    <t xml:space="preserve">Трансформатор тока ТОГФ-110 III УХЛ1 ТТ РП 110 кВ, фаза "С"  зав. № 7816                                                                                                                                                                           </t>
  </si>
  <si>
    <t xml:space="preserve">Ограничитель перенапряжения ОПН-Ф/ЗЭУ-110/88/10/550 УХЛ1; ОПН Т-1, фаза «А» зав. №816415                                                                                                                                                 </t>
  </si>
  <si>
    <t xml:space="preserve">Ограничитель перенапряжения ОПН-Ф/ЗЭУ-110/88/10/550 УХЛ1; ОПН Т-2, фаза «А» зав. №816414                                                                                                                                                </t>
  </si>
  <si>
    <t xml:space="preserve">Ограничитель перенапряжения ОПН-Ф/ЗЭУ-110/88/10/550 УХЛ1; ОПН Т-2, фаза «В» зав. №816417                                                                                                                                                  </t>
  </si>
  <si>
    <t xml:space="preserve">Ограничитель перенапряжения ОПН-Ф/ЗЭУ-110/88/10/550 УХЛ1; ОПН Т-2, фаза «С» зав. №816416                                                                                                                                                    </t>
  </si>
  <si>
    <t xml:space="preserve">Ограничитель перенапряжения ОПН- П1/15/18,0/10/2 УХЛ1; ОПН Т-2 зав.№ б/н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</si>
  <si>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Ограничитель перенапряжения ОПН- П1/15/18,0/10/2 УХЛ1; ОПН Т-2 зав.№ б/н                                                                                                                                                                                                                                </t>
  </si>
  <si>
    <t xml:space="preserve">Ограничитель перенапряжения ОПН- П1/15/18,0/10/2 УХЛ1; ОПН Т-2 зав.№ б/н                                                                                                                                                                                                                                    </t>
  </si>
  <si>
    <t xml:space="preserve">Ошиновка гибкая                                                                                                                                                                                                                            </t>
  </si>
  <si>
    <t xml:space="preserve">Разъединитель РГ.2-110. II/1000-40 УХЛ1;         
СР-2 110 зав.№ 47  </t>
  </si>
  <si>
    <t xml:space="preserve">Трансформатор тока ТОГФ-110 III УХЛ1, ТТ СВ 110 со стороны 1 с 110 кВ, фаза «В» зав.№ 7810                                                                              </t>
  </si>
  <si>
    <t xml:space="preserve">Трансформатор тока ТОГФ-110 III УХЛ1, ТТ СВ 110 со стороны 1 с 110 кВ, фаза «В» зав.№ 7812                                                                             </t>
  </si>
  <si>
    <t xml:space="preserve">Ограничитель перенапряжения ОПН-Ф/ЗЭУ-110/88/10/550 УХЛ1; ОПН Т-1, фаза «В» зав. №816419                                                                                                                                                 </t>
  </si>
  <si>
    <t xml:space="preserve">Ограничитель перенапряжения ОПН-Ф/ЗЭУ-110/88/10/550 УХЛ1; ОПН Т-1, фаза «С» зав. №816418                                                                                                                                                </t>
  </si>
  <si>
    <t xml:space="preserve">Ограничитель перенапряжения ОПН- П1/15/18,0/10/2 УХЛ1; ОПН Т-1, фаза «А» зав.№ 816422                                                                                                                                                                                               </t>
  </si>
  <si>
    <t xml:space="preserve">Ограничитель перенапряжения ОПН- П1/15/18,0/10/2 УХЛ1; ОПН Т-1, фаза «В» зав.№ 816423                                                                                                                                                                                                    </t>
  </si>
  <si>
    <t xml:space="preserve">Ограничитель перенапряжения ОПН- П1/15/18,0/10/2 УХЛ1; ОПН Т-1, фаза «С» зав.№ 816424                                                                                                                                                                                                      </t>
  </si>
  <si>
    <t xml:space="preserve">Трансформатор тока ТОГФ-110 III УХЛ1, ТТ СВ 110 со стороны 2 с 110 кВ, фаза «А» зав.№ 7889                                                                                                     </t>
  </si>
  <si>
    <t xml:space="preserve">Трансформатор тока ТОГФ-110 III УХЛ1, ТТ СВ 110 со стороны 2 с 110 кВ, фаза «С» зав.№ 7891                                                                                                                                                   </t>
  </si>
  <si>
    <t xml:space="preserve">Трансформатор тока ТОГФ-110 III УХЛ1 ТТ РП 110 кВ, фаза "А"  зав. № 7818                                                                                                                                                 </t>
  </si>
  <si>
    <t xml:space="preserve">Трансформатор тока ТОГФ-110 III УХЛ1 ТТ РП 110 кВ, фаза "В"  зав. № 7817                                                                                                                                                    </t>
  </si>
  <si>
    <t xml:space="preserve">Трансформатор тока ТОГФ-110 III УХЛ1, ТТ СВ 110 со стороны 2 с 110 кВ, фаза «В» зав.№ 7890                                                                                                                           </t>
  </si>
  <si>
    <t xml:space="preserve">Разъединитель РГ.2-110. II/1000-40 УХЛ1;         
СР-1 110 зав.№ 42   </t>
  </si>
  <si>
    <t xml:space="preserve">Трансформатор силовой 15кВ; 160 кВА ТМГ11-160/15 У1; ТСН-2 зав.№ 1969048 </t>
  </si>
  <si>
    <t xml:space="preserve">Трансформатор силовой 15кВ; 160 кВА; ТМГ11-160/15 У1; ТСН-1 зав.№ 1968151 </t>
  </si>
  <si>
    <t xml:space="preserve">Реактор дугогасящий 15 кВ; АЗДПМ-190/15 У1; 
ДГА-1 зав.№ 20178 </t>
  </si>
  <si>
    <t xml:space="preserve">Реактор дугогасящий 15 кВ; АЗДПМ-190/15 У1; 
ДГА-2 зав.№ 20175 </t>
  </si>
  <si>
    <t xml:space="preserve">Шкаф Ш2200 15.013 организации цепей напряжения ТН1, ТН2 110 кВ зав.№ 07748  </t>
  </si>
  <si>
    <t xml:space="preserve">Шкаф Ш2500 08.516 08.516 регулирования напряжения трансформаторов зав.№ 07749 </t>
  </si>
  <si>
    <t xml:space="preserve">Шкаф Ш2600 08.513 06.526 Основные и резервные защиты Т-1 зав.№ 07755  </t>
  </si>
  <si>
    <t xml:space="preserve">Шкаф Ш2600 08.513 06.526 Основные и резервные защиты Т-2 зав.№ 07754 </t>
  </si>
  <si>
    <t xml:space="preserve">Щит собственных нужд ЩСН 380.630-2.2.3.46/2.1-031/УХЛ1 зав.№ 8561 </t>
  </si>
  <si>
    <t>Шкаф гарантированного питания зав.№50207172</t>
  </si>
  <si>
    <t>Испытательный комплекс для устройства РЗА СМС 356 Basic зав.№PE369Y</t>
  </si>
  <si>
    <t>240</t>
  </si>
  <si>
    <t>Ограничитель перенапряжений нейтрали 110 кВ ОПНН-Ф-110/60/10/550 II* УХЛ1</t>
  </si>
  <si>
    <t>Затраты  в ценах 2025</t>
  </si>
  <si>
    <t>СМР</t>
  </si>
  <si>
    <t>О 24-03</t>
  </si>
  <si>
    <t>Реконструкция ПС 110 "Университетская"</t>
  </si>
  <si>
    <t xml:space="preserve">Расчет полной стоимости на строительство (реконструкцию)  объекта: </t>
  </si>
  <si>
    <t>№ п/п</t>
  </si>
  <si>
    <t>Показатель</t>
  </si>
  <si>
    <t>Формула подсчёта</t>
  </si>
  <si>
    <t>Значение (млн рублей без НДС)</t>
  </si>
  <si>
    <t>Итого с НДС, млн рублей</t>
  </si>
  <si>
    <t>Примечание</t>
  </si>
  <si>
    <t>ПИР</t>
  </si>
  <si>
    <t>Оборуд.</t>
  </si>
  <si>
    <t xml:space="preserve">Прочие </t>
  </si>
  <si>
    <t>Итого без НДС, млн рублей</t>
  </si>
  <si>
    <t>Сметная стоимость в ценах 
4 кв. 2020</t>
  </si>
  <si>
    <t>УСР</t>
  </si>
  <si>
    <t>Сметная стоимость в базовых ценах 2001г</t>
  </si>
  <si>
    <r>
      <t>З</t>
    </r>
    <r>
      <rPr>
        <b/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</si>
  <si>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</si>
  <si>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</si>
  <si>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</si>
  <si>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</si>
  <si>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</si>
  <si>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</si>
  <si>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</si>
  <si>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</si>
  <si>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</si>
  <si>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</si>
  <si>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charset val="204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</si>
  <si>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charset val="204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</si>
  <si>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  <r>
      <rPr>
        <sz val="11"/>
        <color theme="1"/>
        <rFont val="Calibri"/>
        <family val="2"/>
        <charset val="204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</si>
  <si>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</si>
  <si>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</si>
  <si>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t>Сметная стоимость в прогнозных ценах</t>
  </si>
  <si>
    <r>
      <t>З=</t>
    </r>
    <r>
      <rPr>
        <sz val="9"/>
        <rFont val="Times New Roman"/>
        <family val="1"/>
        <charset val="204"/>
      </rPr>
      <t>Ф 2025</t>
    </r>
  </si>
  <si>
    <t>Оценка полной стоимости инвестиционного проекта в прогнозных ценах соответствующих лет, млн. руб.</t>
  </si>
  <si>
    <t>Ф2025=Ф2020*((Кдеф2021/2020)/100*Кдеф2021/2022)/100*Кдеф2022/2023)/100*Кдеф2024/2023)/100*(Кдеф2025/2024)/100)</t>
  </si>
  <si>
    <r>
      <t xml:space="preserve">Индексы-дефляторы по капитальным вложениям по уточненному прогнозу </t>
    </r>
    <r>
      <rPr>
        <b/>
        <u/>
        <sz val="10"/>
        <color rgb="FF000000"/>
        <rFont val="Times New Roman"/>
        <family val="1"/>
        <charset val="204"/>
      </rPr>
      <t>Минэкономразвития от  28.09.2022</t>
    </r>
  </si>
  <si>
    <t>Ячейка Модуль коммутационный элегазовый 110 кВ ЗАР1 DTC-126</t>
  </si>
  <si>
    <t>Ячейка Модуль коммутационный элегазовый 110 кВ ЗАР1 DTC-126 T-1</t>
  </si>
  <si>
    <t>Реконструкция ПС 110 кВ  Университетская</t>
  </si>
  <si>
    <t xml:space="preserve">Ограждение ж/бетонное наружное </t>
  </si>
  <si>
    <t xml:space="preserve">Строительная часть ОРУ -110кВ ПС 110кВ </t>
  </si>
  <si>
    <t xml:space="preserve">Ограждение металлическое внутреннее </t>
  </si>
  <si>
    <t xml:space="preserve">Сеть наружного освещения   </t>
  </si>
  <si>
    <t>Маслосборник, V=75м3 (метал)</t>
  </si>
  <si>
    <t xml:space="preserve">Сеть маслостоков </t>
  </si>
  <si>
    <t xml:space="preserve">Промливневая канализация </t>
  </si>
  <si>
    <t xml:space="preserve">Здание ЗРУ 15 кВ совмещенное с ОПУ 110 кВ (капитального типа)  340,28 м2                                        </t>
  </si>
  <si>
    <t xml:space="preserve">АРМ оперативного персонала ОПУ 110 кВ     </t>
  </si>
  <si>
    <t xml:space="preserve">Система охранной сигнализации и периметра </t>
  </si>
  <si>
    <t>Система пожарной сигнализации</t>
  </si>
  <si>
    <t>Реконструкция ПС 110 кВ Университетская</t>
  </si>
  <si>
    <t xml:space="preserve">Устройство зарядно-выпрямительное NLT 80/220 зав.№2001287/1-2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</si>
</sst>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000000000000000"/>
    <numFmt numFmtId="166" formatCode="#,##0.0"/>
    <numFmt numFmtId="167" formatCode="#,##0.0000000"/>
  </numFmts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u/>
      <sz val="10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E1F2"/>
        <bgColor rgb="FF00000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43" fontId="7" fillId="0" borderId="0" applyFont="0" applyFill="0" applyBorder="0" applyAlignment="0" applyProtection="0"/>
  </cellStyleXfs>
  <cellXfs count="99">
    <xf numFmtId="0" fontId="0" fillId="0" borderId="0" xfId="0"/>
    <xf numFmtId="0" fontId="3" fillId="0" borderId="0" xfId="0" applyFont="1"/>
    <xf numFmtId="0" fontId="2" fillId="0" borderId="0" xfId="0" applyFont="1"/>
    <xf numFmtId="0" fontId="6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4" fontId="8" fillId="0" borderId="0" xfId="0" applyNumberFormat="1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5" fillId="0" borderId="1" xfId="0" applyFont="1" applyBorder="1"/>
    <xf numFmtId="0" fontId="3" fillId="0" borderId="1" xfId="0" applyFont="1" applyBorder="1"/>
    <xf numFmtId="0" fontId="3" fillId="0" borderId="3" xfId="0" applyFont="1" applyBorder="1"/>
    <xf numFmtId="2" fontId="3" fillId="0" borderId="0" xfId="0" applyNumberFormat="1" applyFont="1" applyAlignment="1">
      <alignment horizontal="center"/>
    </xf>
    <xf numFmtId="167" fontId="3" fillId="0" borderId="0" xfId="0" applyNumberFormat="1" applyFont="1"/>
    <xf numFmtId="0" fontId="1" fillId="0" borderId="0" xfId="0" applyFont="1"/>
    <xf numFmtId="0" fontId="4" fillId="0" borderId="8" xfId="0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 applyAlignment="1">
      <alignment horizontal="center" vertical="center"/>
    </xf>
    <xf numFmtId="0" fontId="16" fillId="0" borderId="8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8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9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17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0" fillId="0" borderId="0" xfId="0" applyFont="1" applyFill="1" applyAlignment="1">
      <alignment vertical="center"/>
    </xf>
    <xf numFmtId="4" fontId="5" fillId="0" borderId="1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/>
    <xf numFmtId="3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1" fillId="0" borderId="2" xfId="0" applyFont="1" applyFill="1" applyBorder="1"/>
    <xf numFmtId="164" fontId="1" fillId="0" borderId="0" xfId="0" applyNumberFormat="1" applyFont="1" applyFill="1" applyAlignment="1">
      <alignment horizontal="right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</cellXfs>
  <cellStyles count="3">
    <cellStyle name="Обычный" xfId="0" builtinId="0"/>
    <cellStyle name="Обычный 5" xfId="1" xr:uid="{01646949-EA09-404E-9F1C-15DC701755FE}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E7B11-EC70-491D-9C2E-AD67C12602AB}">
  <dimension ref="A6:K32"/>
  <sheetViews>
    <sheetView tabSelected="1" workbookViewId="0">
      <selection activeCell="D31" sqref="D31:I31"/>
    </sheetView>
  </sheetViews>
  <sheetFormatPr defaultRowHeight="15" x14ac:dyDescent="0.25"/>
  <cols>
    <col min="1" max="1" width="25.140625" style="1" customWidth="1"/>
    <col min="2" max="2" width="30.7109375" style="2" customWidth="1"/>
    <col min="3" max="3" width="18.7109375" style="1" customWidth="1"/>
    <col min="4" max="7" width="17.140625" style="1" customWidth="1"/>
    <col min="8" max="8" width="19.5703125" style="1" customWidth="1"/>
    <col min="9" max="9" width="17.7109375" style="1" customWidth="1"/>
    <col min="10" max="13" width="25.140625" style="1" customWidth="1"/>
    <col min="14" max="16384" width="9.140625" style="1"/>
  </cols>
  <sheetData>
    <row r="6" spans="1:11" ht="18.75" x14ac:dyDescent="0.3">
      <c r="A6" s="5"/>
      <c r="B6" s="33"/>
      <c r="C6" s="49"/>
      <c r="D6" s="49"/>
      <c r="E6" s="49"/>
      <c r="F6" s="49"/>
      <c r="G6" s="49"/>
      <c r="H6" s="49"/>
      <c r="I6" s="49"/>
      <c r="J6" s="5"/>
    </row>
    <row r="7" spans="1:11" ht="18.75" customHeight="1" x14ac:dyDescent="0.3">
      <c r="B7" s="31" t="s">
        <v>87</v>
      </c>
    </row>
    <row r="8" spans="1:11" ht="18.75" customHeight="1" x14ac:dyDescent="0.3">
      <c r="A8" s="31" t="s">
        <v>86</v>
      </c>
      <c r="B8" s="31" t="s">
        <v>88</v>
      </c>
    </row>
    <row r="9" spans="1:11" ht="15.75" x14ac:dyDescent="0.25">
      <c r="A9" s="6"/>
      <c r="B9" s="34"/>
      <c r="C9" s="7"/>
      <c r="D9" s="7"/>
      <c r="E9" s="8"/>
      <c r="F9" s="8"/>
      <c r="G9" s="8"/>
      <c r="H9" s="9"/>
      <c r="I9" s="6"/>
    </row>
    <row r="10" spans="1:11" ht="15.75" x14ac:dyDescent="0.25">
      <c r="A10" s="50" t="s">
        <v>89</v>
      </c>
      <c r="B10" s="53" t="s">
        <v>90</v>
      </c>
      <c r="C10" s="50" t="s">
        <v>91</v>
      </c>
      <c r="D10" s="56" t="s">
        <v>92</v>
      </c>
      <c r="E10" s="57"/>
      <c r="F10" s="57"/>
      <c r="G10" s="57"/>
      <c r="H10" s="58"/>
      <c r="I10" s="46" t="s">
        <v>93</v>
      </c>
      <c r="J10" s="46" t="s">
        <v>94</v>
      </c>
    </row>
    <row r="11" spans="1:11" x14ac:dyDescent="0.25">
      <c r="A11" s="51"/>
      <c r="B11" s="54"/>
      <c r="C11" s="51"/>
      <c r="D11" s="47" t="s">
        <v>95</v>
      </c>
      <c r="E11" s="47" t="s">
        <v>85</v>
      </c>
      <c r="F11" s="59" t="s">
        <v>96</v>
      </c>
      <c r="G11" s="47" t="s">
        <v>97</v>
      </c>
      <c r="H11" s="61" t="s">
        <v>98</v>
      </c>
      <c r="I11" s="46"/>
      <c r="J11" s="46"/>
      <c r="K11" s="1">
        <v>1000</v>
      </c>
    </row>
    <row r="12" spans="1:11" x14ac:dyDescent="0.25">
      <c r="A12" s="52"/>
      <c r="B12" s="55"/>
      <c r="C12" s="52"/>
      <c r="D12" s="48"/>
      <c r="E12" s="48"/>
      <c r="F12" s="60"/>
      <c r="G12" s="48"/>
      <c r="H12" s="62"/>
      <c r="I12" s="46"/>
      <c r="J12" s="46"/>
    </row>
    <row r="13" spans="1:11" ht="15.75" x14ac:dyDescent="0.25">
      <c r="A13" s="11"/>
      <c r="B13" s="35"/>
      <c r="C13" s="11"/>
      <c r="D13" s="12"/>
      <c r="E13" s="12"/>
      <c r="F13" s="13"/>
      <c r="G13" s="12"/>
      <c r="H13" s="14"/>
      <c r="I13" s="10"/>
      <c r="J13" s="10"/>
    </row>
    <row r="14" spans="1:11" ht="36" customHeight="1" x14ac:dyDescent="0.25">
      <c r="A14" s="10">
        <v>1</v>
      </c>
      <c r="B14" s="36" t="s">
        <v>99</v>
      </c>
      <c r="C14" s="15" t="s">
        <v>100</v>
      </c>
      <c r="D14" s="12">
        <v>5.47</v>
      </c>
      <c r="E14" s="39">
        <f>((Университетская!N79+Университетская!O79)/1000)/1000</f>
        <v>35.51</v>
      </c>
      <c r="F14" s="39">
        <f>((Университетская!P79)/1000)/1000</f>
        <v>167.51</v>
      </c>
      <c r="G14" s="39">
        <f>((Университетская!Q79)/1000)/1000</f>
        <v>30.41</v>
      </c>
      <c r="H14" s="16">
        <f>SUM(D14:G14)</f>
        <v>238.9</v>
      </c>
      <c r="I14" s="17">
        <f>ROUND(H14*1.2,8)</f>
        <v>286.68</v>
      </c>
      <c r="J14" s="26"/>
    </row>
    <row r="15" spans="1:11" ht="25.5" x14ac:dyDescent="0.25">
      <c r="A15" s="10">
        <v>2</v>
      </c>
      <c r="B15" s="35" t="s">
        <v>101</v>
      </c>
      <c r="C15" s="11" t="s">
        <v>102</v>
      </c>
      <c r="D15" s="12">
        <v>0.81</v>
      </c>
      <c r="E15" s="12">
        <v>1.88</v>
      </c>
      <c r="F15" s="12">
        <v>25.68</v>
      </c>
      <c r="G15" s="12">
        <v>0.91</v>
      </c>
      <c r="H15" s="16">
        <f>SUM(D15:G15)</f>
        <v>29.28</v>
      </c>
      <c r="I15" s="17">
        <f>ROUND(H15*1.2,8)</f>
        <v>35.14</v>
      </c>
      <c r="J15" s="27"/>
    </row>
    <row r="16" spans="1:11" ht="15.75" x14ac:dyDescent="0.25">
      <c r="A16" s="40">
        <v>3</v>
      </c>
      <c r="B16" s="42" t="s">
        <v>103</v>
      </c>
      <c r="C16" s="18" t="s">
        <v>104</v>
      </c>
      <c r="D16" s="12">
        <v>0</v>
      </c>
      <c r="E16" s="12">
        <v>0</v>
      </c>
      <c r="F16" s="12">
        <v>0</v>
      </c>
      <c r="G16" s="12">
        <v>0</v>
      </c>
      <c r="H16" s="16">
        <f>SUM(D16:G16)</f>
        <v>0</v>
      </c>
      <c r="I16" s="17">
        <v>0</v>
      </c>
      <c r="J16" s="40" t="s">
        <v>105</v>
      </c>
    </row>
    <row r="17" spans="1:10" ht="15.75" x14ac:dyDescent="0.25">
      <c r="A17" s="41"/>
      <c r="B17" s="43"/>
      <c r="C17" s="18" t="s">
        <v>106</v>
      </c>
      <c r="D17" s="12">
        <v>0</v>
      </c>
      <c r="E17" s="12">
        <v>0</v>
      </c>
      <c r="F17" s="12">
        <v>0</v>
      </c>
      <c r="G17" s="12">
        <v>0</v>
      </c>
      <c r="H17" s="16">
        <f>SUM(D17:G17)</f>
        <v>0</v>
      </c>
      <c r="I17" s="17">
        <v>0</v>
      </c>
      <c r="J17" s="41"/>
    </row>
    <row r="18" spans="1:10" ht="15.75" x14ac:dyDescent="0.25">
      <c r="A18" s="40">
        <v>4</v>
      </c>
      <c r="B18" s="42" t="s">
        <v>122</v>
      </c>
      <c r="C18" s="19" t="s">
        <v>107</v>
      </c>
      <c r="D18" s="20">
        <v>104.9</v>
      </c>
      <c r="E18" s="20">
        <v>104.9</v>
      </c>
      <c r="F18" s="20">
        <v>104.9</v>
      </c>
      <c r="G18" s="20">
        <v>104.9</v>
      </c>
      <c r="H18" s="21"/>
      <c r="I18" s="21"/>
      <c r="J18" s="27"/>
    </row>
    <row r="19" spans="1:10" ht="15.75" x14ac:dyDescent="0.25">
      <c r="A19" s="44"/>
      <c r="B19" s="45"/>
      <c r="C19" s="19" t="s">
        <v>108</v>
      </c>
      <c r="D19" s="20">
        <v>113.9</v>
      </c>
      <c r="E19" s="20">
        <v>113.9</v>
      </c>
      <c r="F19" s="20">
        <v>113.9</v>
      </c>
      <c r="G19" s="20">
        <v>113.9</v>
      </c>
      <c r="H19" s="21"/>
      <c r="I19" s="21"/>
      <c r="J19" s="27"/>
    </row>
    <row r="20" spans="1:10" ht="15.75" x14ac:dyDescent="0.25">
      <c r="A20" s="44"/>
      <c r="B20" s="45"/>
      <c r="C20" s="19" t="s">
        <v>109</v>
      </c>
      <c r="D20" s="20">
        <v>105.9</v>
      </c>
      <c r="E20" s="20">
        <v>105.9</v>
      </c>
      <c r="F20" s="20">
        <v>105.9</v>
      </c>
      <c r="G20" s="20">
        <v>105.9</v>
      </c>
      <c r="H20" s="21"/>
      <c r="I20" s="21"/>
      <c r="J20" s="27"/>
    </row>
    <row r="21" spans="1:10" ht="15.75" x14ac:dyDescent="0.25">
      <c r="A21" s="44"/>
      <c r="B21" s="45"/>
      <c r="C21" s="19" t="s">
        <v>110</v>
      </c>
      <c r="D21" s="20">
        <v>105.3</v>
      </c>
      <c r="E21" s="20">
        <v>105.3</v>
      </c>
      <c r="F21" s="20">
        <v>105.3</v>
      </c>
      <c r="G21" s="20">
        <v>105.3</v>
      </c>
      <c r="H21" s="21"/>
      <c r="I21" s="21"/>
      <c r="J21" s="27"/>
    </row>
    <row r="22" spans="1:10" ht="15.75" x14ac:dyDescent="0.25">
      <c r="A22" s="44"/>
      <c r="B22" s="45"/>
      <c r="C22" s="19" t="s">
        <v>111</v>
      </c>
      <c r="D22" s="20">
        <v>104.8</v>
      </c>
      <c r="E22" s="20">
        <v>104.8</v>
      </c>
      <c r="F22" s="20">
        <v>104.8</v>
      </c>
      <c r="G22" s="20">
        <v>104.8</v>
      </c>
      <c r="H22" s="21"/>
      <c r="I22" s="21"/>
      <c r="J22" s="27"/>
    </row>
    <row r="23" spans="1:10" ht="15.75" x14ac:dyDescent="0.25">
      <c r="A23" s="44"/>
      <c r="B23" s="45"/>
      <c r="C23" s="19" t="s">
        <v>112</v>
      </c>
      <c r="D23" s="20">
        <v>104.8</v>
      </c>
      <c r="E23" s="20">
        <v>104.8</v>
      </c>
      <c r="F23" s="20">
        <v>104.8</v>
      </c>
      <c r="G23" s="20">
        <v>104.8</v>
      </c>
      <c r="H23" s="21"/>
      <c r="I23" s="21"/>
      <c r="J23" s="27"/>
    </row>
    <row r="24" spans="1:10" ht="15.75" x14ac:dyDescent="0.25">
      <c r="A24" s="44"/>
      <c r="B24" s="45"/>
      <c r="C24" s="19" t="s">
        <v>113</v>
      </c>
      <c r="D24" s="20">
        <v>104.8</v>
      </c>
      <c r="E24" s="20">
        <v>104.8</v>
      </c>
      <c r="F24" s="20">
        <v>104.8</v>
      </c>
      <c r="G24" s="20">
        <v>104.8</v>
      </c>
      <c r="H24" s="21"/>
      <c r="I24" s="21"/>
      <c r="J24" s="27"/>
    </row>
    <row r="25" spans="1:10" ht="15.75" x14ac:dyDescent="0.25">
      <c r="A25" s="44"/>
      <c r="B25" s="45"/>
      <c r="C25" s="19" t="s">
        <v>114</v>
      </c>
      <c r="D25" s="20">
        <v>104.8</v>
      </c>
      <c r="E25" s="20">
        <v>104.8</v>
      </c>
      <c r="F25" s="20">
        <v>104.8</v>
      </c>
      <c r="G25" s="20">
        <v>104.8</v>
      </c>
      <c r="H25" s="21"/>
      <c r="I25" s="21"/>
      <c r="J25" s="27"/>
    </row>
    <row r="26" spans="1:10" ht="15.75" x14ac:dyDescent="0.25">
      <c r="A26" s="22"/>
      <c r="B26" s="37"/>
      <c r="C26" s="19" t="s">
        <v>115</v>
      </c>
      <c r="D26" s="20">
        <v>104.8</v>
      </c>
      <c r="E26" s="20">
        <v>104.8</v>
      </c>
      <c r="F26" s="20">
        <v>104.8</v>
      </c>
      <c r="G26" s="20">
        <v>104.8</v>
      </c>
      <c r="H26" s="21"/>
      <c r="I26" s="21"/>
      <c r="J26" s="28"/>
    </row>
    <row r="27" spans="1:10" ht="15.75" x14ac:dyDescent="0.25">
      <c r="A27" s="22"/>
      <c r="B27" s="37"/>
      <c r="C27" s="23"/>
      <c r="D27" s="20"/>
      <c r="E27" s="20"/>
      <c r="F27" s="20"/>
      <c r="G27" s="20"/>
      <c r="H27" s="21"/>
      <c r="I27" s="21"/>
      <c r="J27" s="28"/>
    </row>
    <row r="28" spans="1:10" ht="15.75" x14ac:dyDescent="0.25">
      <c r="A28" s="40">
        <v>5</v>
      </c>
      <c r="B28" s="42" t="s">
        <v>116</v>
      </c>
      <c r="C28" s="18" t="s">
        <v>117</v>
      </c>
      <c r="D28" s="4">
        <f>D16</f>
        <v>0</v>
      </c>
      <c r="E28" s="4"/>
      <c r="F28" s="4"/>
      <c r="G28" s="4">
        <f>G16</f>
        <v>0</v>
      </c>
      <c r="H28" s="16">
        <f>SUM(D28:G28)</f>
        <v>0</v>
      </c>
      <c r="I28" s="17"/>
      <c r="J28" s="40"/>
    </row>
    <row r="29" spans="1:10" ht="76.5" x14ac:dyDescent="0.25">
      <c r="A29" s="41"/>
      <c r="B29" s="43"/>
      <c r="C29" s="32" t="s">
        <v>121</v>
      </c>
      <c r="D29" s="4">
        <f>ROUND(D17*(100+D21)/200,8)</f>
        <v>0</v>
      </c>
      <c r="E29" s="4">
        <f>ROUND(E17*(100+E21)/200,8)</f>
        <v>0</v>
      </c>
      <c r="F29" s="4">
        <f t="shared" ref="F29:G29" si="0">ROUND(F17*(100+F21)/200,8)</f>
        <v>0</v>
      </c>
      <c r="G29" s="4">
        <f t="shared" si="0"/>
        <v>0</v>
      </c>
      <c r="H29" s="16">
        <f>SUM(D29:G29)</f>
        <v>0</v>
      </c>
      <c r="I29" s="17"/>
      <c r="J29" s="41"/>
    </row>
    <row r="30" spans="1:10" ht="25.5" x14ac:dyDescent="0.25">
      <c r="A30" s="15">
        <v>6</v>
      </c>
      <c r="B30" s="38" t="s">
        <v>118</v>
      </c>
      <c r="C30" s="3" t="s">
        <v>119</v>
      </c>
      <c r="D30" s="24">
        <f>D14*D18/100*D19/100*D20/100*D21/100*D22/100</f>
        <v>7.64</v>
      </c>
      <c r="E30" s="24">
        <f t="shared" ref="E30:G30" si="1">E14*E18/100*E19/100*E20/100*E21/100*E22/100</f>
        <v>49.58</v>
      </c>
      <c r="F30" s="24">
        <f t="shared" si="1"/>
        <v>233.9</v>
      </c>
      <c r="G30" s="24">
        <f t="shared" si="1"/>
        <v>42.46</v>
      </c>
      <c r="H30" s="16">
        <f>SUM(D30:G30)</f>
        <v>333.58</v>
      </c>
      <c r="I30" s="17"/>
      <c r="J30" s="25"/>
    </row>
    <row r="31" spans="1:10" ht="51" x14ac:dyDescent="0.25">
      <c r="A31" s="15">
        <v>7</v>
      </c>
      <c r="B31" s="36" t="s">
        <v>120</v>
      </c>
      <c r="C31" s="10"/>
      <c r="D31" s="12">
        <f>ROUND(D30,8)</f>
        <v>7.64</v>
      </c>
      <c r="E31" s="12">
        <f t="shared" ref="E31:G31" si="2">ROUND(E30,8)</f>
        <v>49.58</v>
      </c>
      <c r="F31" s="12">
        <f t="shared" si="2"/>
        <v>233.9</v>
      </c>
      <c r="G31" s="12">
        <f t="shared" si="2"/>
        <v>42.46</v>
      </c>
      <c r="H31" s="16">
        <f>SUM(D31:G31)</f>
        <v>333.58</v>
      </c>
      <c r="I31" s="17">
        <f>ROUND(H31*1.2,8)</f>
        <v>400.3</v>
      </c>
      <c r="J31" s="25"/>
    </row>
    <row r="32" spans="1:10" x14ac:dyDescent="0.25">
      <c r="D32" s="29">
        <f>D31*1.2</f>
        <v>9.17</v>
      </c>
      <c r="H32" s="30"/>
      <c r="I32" s="30"/>
    </row>
  </sheetData>
  <mergeCells count="20">
    <mergeCell ref="J10:J12"/>
    <mergeCell ref="D11:D12"/>
    <mergeCell ref="C6:I6"/>
    <mergeCell ref="A10:A12"/>
    <mergeCell ref="B10:B12"/>
    <mergeCell ref="C10:C12"/>
    <mergeCell ref="D10:H10"/>
    <mergeCell ref="I10:I12"/>
    <mergeCell ref="E11:E12"/>
    <mergeCell ref="F11:F12"/>
    <mergeCell ref="G11:G12"/>
    <mergeCell ref="H11:H12"/>
    <mergeCell ref="A28:A29"/>
    <mergeCell ref="B28:B29"/>
    <mergeCell ref="J28:J29"/>
    <mergeCell ref="A16:A17"/>
    <mergeCell ref="B16:B17"/>
    <mergeCell ref="J16:J17"/>
    <mergeCell ref="A18:A25"/>
    <mergeCell ref="B18:B2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79998168889431442"/>
  </sheetPr>
  <dimension ref="A2:Z116"/>
  <sheetViews>
    <sheetView view="pageBreakPreview" zoomScale="50" zoomScaleNormal="82" zoomScaleSheetLayoutView="50" workbookViewId="0">
      <pane xSplit="3" ySplit="8" topLeftCell="D78" activePane="bottomRight" state="frozen"/>
      <selection pane="topRight" activeCell="D1" sqref="D1"/>
      <selection pane="bottomLeft" activeCell="A9" sqref="A9"/>
      <selection pane="bottomRight" activeCell="R82" sqref="R82"/>
    </sheetView>
  </sheetViews>
  <sheetFormatPr defaultColWidth="8.85546875" defaultRowHeight="18.75" x14ac:dyDescent="0.3"/>
  <cols>
    <col min="1" max="1" width="6.28515625" style="63" customWidth="1"/>
    <col min="2" max="2" width="13.85546875" style="67" customWidth="1"/>
    <col min="3" max="3" width="52.5703125" style="67" customWidth="1"/>
    <col min="4" max="4" width="15.7109375" style="65" customWidth="1"/>
    <col min="5" max="5" width="28.5703125" style="65" customWidth="1"/>
    <col min="6" max="6" width="12" style="65" customWidth="1"/>
    <col min="7" max="7" width="10.7109375" style="65" customWidth="1"/>
    <col min="8" max="8" width="8" style="65" customWidth="1"/>
    <col min="9" max="9" width="27.5703125" style="65" customWidth="1"/>
    <col min="10" max="10" width="10.42578125" style="65" customWidth="1"/>
    <col min="11" max="11" width="16.7109375" style="65" customWidth="1"/>
    <col min="12" max="12" width="10.5703125" style="65" customWidth="1"/>
    <col min="13" max="13" width="33.42578125" style="65" customWidth="1"/>
    <col min="14" max="14" width="24.42578125" style="65" customWidth="1"/>
    <col min="15" max="15" width="28.140625" style="65" customWidth="1"/>
    <col min="16" max="16" width="31.42578125" style="65" customWidth="1"/>
    <col min="17" max="17" width="28.7109375" style="65" customWidth="1"/>
    <col min="18" max="18" width="29.7109375" style="65" customWidth="1"/>
    <col min="19" max="16384" width="8.85546875" style="67"/>
  </cols>
  <sheetData>
    <row r="2" spans="1:19" ht="30" customHeight="1" x14ac:dyDescent="0.3">
      <c r="B2" s="64"/>
      <c r="C2" s="64"/>
      <c r="D2" s="64"/>
      <c r="E2" s="64"/>
      <c r="F2" s="64"/>
      <c r="G2" s="64"/>
      <c r="H2" s="64"/>
      <c r="I2" s="64"/>
      <c r="M2" s="66"/>
      <c r="N2" s="66"/>
      <c r="O2" s="66"/>
    </row>
    <row r="3" spans="1:19" ht="15" customHeight="1" x14ac:dyDescent="0.3">
      <c r="M3" s="68"/>
      <c r="N3" s="67"/>
      <c r="O3" s="67"/>
    </row>
    <row r="4" spans="1:19" ht="15" customHeight="1" x14ac:dyDescent="0.3"/>
    <row r="5" spans="1:19" ht="64.5" customHeight="1" x14ac:dyDescent="0.3">
      <c r="A5" s="69" t="s">
        <v>125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9" ht="43.15" customHeight="1" x14ac:dyDescent="0.3">
      <c r="A6" s="70" t="s">
        <v>0</v>
      </c>
      <c r="B6" s="70" t="s">
        <v>16</v>
      </c>
      <c r="C6" s="71" t="s">
        <v>17</v>
      </c>
      <c r="D6" s="70" t="s">
        <v>1</v>
      </c>
      <c r="E6" s="70" t="s">
        <v>2</v>
      </c>
      <c r="F6" s="70" t="s">
        <v>3</v>
      </c>
      <c r="G6" s="70" t="s">
        <v>4</v>
      </c>
      <c r="H6" s="70" t="s">
        <v>5</v>
      </c>
      <c r="I6" s="70" t="s">
        <v>6</v>
      </c>
      <c r="J6" s="70" t="s">
        <v>15</v>
      </c>
      <c r="K6" s="70" t="s">
        <v>7</v>
      </c>
      <c r="L6" s="70" t="s">
        <v>8</v>
      </c>
      <c r="M6" s="70" t="s">
        <v>14</v>
      </c>
      <c r="N6" s="70" t="s">
        <v>9</v>
      </c>
      <c r="O6" s="70"/>
      <c r="P6" s="70"/>
      <c r="Q6" s="70"/>
      <c r="R6" s="70"/>
    </row>
    <row r="7" spans="1:19" s="68" customFormat="1" ht="90.6" customHeight="1" x14ac:dyDescent="0.3">
      <c r="A7" s="70"/>
      <c r="B7" s="70"/>
      <c r="C7" s="71"/>
      <c r="D7" s="70"/>
      <c r="E7" s="70"/>
      <c r="F7" s="70"/>
      <c r="G7" s="70"/>
      <c r="H7" s="70"/>
      <c r="I7" s="70"/>
      <c r="J7" s="70"/>
      <c r="K7" s="70"/>
      <c r="L7" s="70"/>
      <c r="M7" s="70"/>
      <c r="N7" s="72" t="s">
        <v>21</v>
      </c>
      <c r="O7" s="72" t="s">
        <v>20</v>
      </c>
      <c r="P7" s="72" t="s">
        <v>10</v>
      </c>
      <c r="Q7" s="72" t="s">
        <v>11</v>
      </c>
      <c r="R7" s="72" t="s">
        <v>12</v>
      </c>
    </row>
    <row r="8" spans="1:19" s="68" customFormat="1" ht="23.25" customHeight="1" x14ac:dyDescent="0.3">
      <c r="A8" s="73">
        <v>1</v>
      </c>
      <c r="B8" s="73">
        <v>2</v>
      </c>
      <c r="C8" s="73">
        <v>3</v>
      </c>
      <c r="D8" s="72">
        <v>4</v>
      </c>
      <c r="E8" s="72">
        <v>8</v>
      </c>
      <c r="F8" s="72">
        <v>9</v>
      </c>
      <c r="G8" s="72">
        <v>10</v>
      </c>
      <c r="H8" s="72">
        <v>11</v>
      </c>
      <c r="I8" s="72">
        <v>12</v>
      </c>
      <c r="J8" s="72">
        <v>13</v>
      </c>
      <c r="K8" s="72">
        <v>15</v>
      </c>
      <c r="L8" s="72">
        <v>17</v>
      </c>
      <c r="M8" s="72">
        <v>23</v>
      </c>
      <c r="N8" s="72">
        <v>24</v>
      </c>
      <c r="O8" s="72">
        <v>25</v>
      </c>
      <c r="P8" s="72">
        <v>26</v>
      </c>
      <c r="Q8" s="72">
        <v>27</v>
      </c>
      <c r="R8" s="72">
        <v>28</v>
      </c>
      <c r="S8" s="65"/>
    </row>
    <row r="9" spans="1:19" s="81" customFormat="1" ht="56.25" x14ac:dyDescent="0.25">
      <c r="A9" s="74">
        <v>3</v>
      </c>
      <c r="B9" s="75"/>
      <c r="C9" s="76" t="s">
        <v>72</v>
      </c>
      <c r="D9" s="77" t="s">
        <v>22</v>
      </c>
      <c r="E9" s="78">
        <v>980547.27</v>
      </c>
      <c r="F9" s="79"/>
      <c r="G9" s="77">
        <v>360</v>
      </c>
      <c r="H9" s="77">
        <v>7</v>
      </c>
      <c r="I9" s="78">
        <v>980547.27</v>
      </c>
      <c r="J9" s="77">
        <v>240</v>
      </c>
      <c r="K9" s="77" t="s">
        <v>13</v>
      </c>
      <c r="L9" s="77"/>
      <c r="M9" s="77" t="s">
        <v>137</v>
      </c>
      <c r="N9" s="78">
        <v>84844.33</v>
      </c>
      <c r="O9" s="78">
        <v>343392.95</v>
      </c>
      <c r="P9" s="78">
        <v>185598</v>
      </c>
      <c r="Q9" s="78">
        <v>366711.99</v>
      </c>
      <c r="R9" s="78">
        <v>980547.27</v>
      </c>
      <c r="S9" s="80"/>
    </row>
    <row r="10" spans="1:19" s="81" customFormat="1" ht="56.25" x14ac:dyDescent="0.25">
      <c r="A10" s="74">
        <v>4</v>
      </c>
      <c r="B10" s="75"/>
      <c r="C10" s="76" t="s">
        <v>71</v>
      </c>
      <c r="D10" s="77" t="s">
        <v>22</v>
      </c>
      <c r="E10" s="78">
        <v>980547.27</v>
      </c>
      <c r="F10" s="79"/>
      <c r="G10" s="77">
        <v>360</v>
      </c>
      <c r="H10" s="77">
        <v>7</v>
      </c>
      <c r="I10" s="78">
        <v>980547.27</v>
      </c>
      <c r="J10" s="77">
        <v>240</v>
      </c>
      <c r="K10" s="77" t="s">
        <v>13</v>
      </c>
      <c r="L10" s="77"/>
      <c r="M10" s="77" t="s">
        <v>137</v>
      </c>
      <c r="N10" s="78">
        <v>84844.33</v>
      </c>
      <c r="O10" s="78">
        <v>343392.95</v>
      </c>
      <c r="P10" s="78">
        <v>185598</v>
      </c>
      <c r="Q10" s="78">
        <v>366711.99</v>
      </c>
      <c r="R10" s="78">
        <v>980547.27</v>
      </c>
      <c r="S10" s="80"/>
    </row>
    <row r="11" spans="1:19" s="82" customFormat="1" ht="56.25" x14ac:dyDescent="0.25">
      <c r="A11" s="74">
        <v>5</v>
      </c>
      <c r="B11" s="75"/>
      <c r="C11" s="76" t="s">
        <v>73</v>
      </c>
      <c r="D11" s="77" t="s">
        <v>22</v>
      </c>
      <c r="E11" s="78">
        <v>6204508.2999999998</v>
      </c>
      <c r="F11" s="79"/>
      <c r="G11" s="77">
        <v>360</v>
      </c>
      <c r="H11" s="77">
        <v>7</v>
      </c>
      <c r="I11" s="78">
        <v>6204508.2999999998</v>
      </c>
      <c r="J11" s="77">
        <v>240</v>
      </c>
      <c r="K11" s="77" t="s">
        <v>13</v>
      </c>
      <c r="L11" s="77"/>
      <c r="M11" s="77" t="s">
        <v>137</v>
      </c>
      <c r="N11" s="78">
        <v>163057.82999999999</v>
      </c>
      <c r="O11" s="78">
        <v>333341.45</v>
      </c>
      <c r="P11" s="78">
        <v>5283027.93</v>
      </c>
      <c r="Q11" s="78">
        <v>425081.09</v>
      </c>
      <c r="R11" s="78">
        <v>6204508.2999999998</v>
      </c>
      <c r="S11" s="80"/>
    </row>
    <row r="12" spans="1:19" s="82" customFormat="1" ht="56.25" x14ac:dyDescent="0.25">
      <c r="A12" s="74">
        <v>6</v>
      </c>
      <c r="B12" s="75"/>
      <c r="C12" s="76" t="s">
        <v>74</v>
      </c>
      <c r="D12" s="77" t="s">
        <v>22</v>
      </c>
      <c r="E12" s="78">
        <v>6204508.2999999998</v>
      </c>
      <c r="F12" s="79"/>
      <c r="G12" s="77">
        <v>360</v>
      </c>
      <c r="H12" s="77">
        <v>7</v>
      </c>
      <c r="I12" s="78">
        <v>6204508.2999999998</v>
      </c>
      <c r="J12" s="77">
        <v>240</v>
      </c>
      <c r="K12" s="77" t="s">
        <v>13</v>
      </c>
      <c r="L12" s="77"/>
      <c r="M12" s="77" t="s">
        <v>137</v>
      </c>
      <c r="N12" s="78">
        <v>163057.82999999999</v>
      </c>
      <c r="O12" s="78">
        <v>333341.45</v>
      </c>
      <c r="P12" s="78">
        <v>5283027.93</v>
      </c>
      <c r="Q12" s="78">
        <v>425081.09</v>
      </c>
      <c r="R12" s="78">
        <v>6204508.2999999998</v>
      </c>
      <c r="S12" s="80"/>
    </row>
    <row r="13" spans="1:19" s="82" customFormat="1" ht="56.25" x14ac:dyDescent="0.25">
      <c r="A13" s="74">
        <v>7</v>
      </c>
      <c r="B13" s="75"/>
      <c r="C13" s="76" t="s">
        <v>124</v>
      </c>
      <c r="D13" s="77" t="s">
        <v>22</v>
      </c>
      <c r="E13" s="78">
        <v>35323448.399999999</v>
      </c>
      <c r="F13" s="79"/>
      <c r="G13" s="77">
        <v>360</v>
      </c>
      <c r="H13" s="77">
        <v>7</v>
      </c>
      <c r="I13" s="78">
        <v>35323448.399999999</v>
      </c>
      <c r="J13" s="77">
        <v>240</v>
      </c>
      <c r="K13" s="77" t="s">
        <v>13</v>
      </c>
      <c r="L13" s="77"/>
      <c r="M13" s="77" t="s">
        <v>137</v>
      </c>
      <c r="N13" s="78">
        <f>70403.33</f>
        <v>70403.33</v>
      </c>
      <c r="O13" s="78">
        <f>119424.77</f>
        <v>119424.77</v>
      </c>
      <c r="P13" s="78">
        <f>34971065</f>
        <v>34971065</v>
      </c>
      <c r="Q13" s="78">
        <f>162555.3</f>
        <v>162555.29999999999</v>
      </c>
      <c r="R13" s="78">
        <f>35323448.4</f>
        <v>35323448.399999999</v>
      </c>
      <c r="S13" s="83"/>
    </row>
    <row r="14" spans="1:19" s="82" customFormat="1" ht="56.25" x14ac:dyDescent="0.25">
      <c r="A14" s="74">
        <v>8</v>
      </c>
      <c r="B14" s="75"/>
      <c r="C14" s="76" t="s">
        <v>123</v>
      </c>
      <c r="D14" s="77" t="s">
        <v>22</v>
      </c>
      <c r="E14" s="78">
        <v>35323448.399999999</v>
      </c>
      <c r="F14" s="79"/>
      <c r="G14" s="77">
        <v>360</v>
      </c>
      <c r="H14" s="77">
        <v>7</v>
      </c>
      <c r="I14" s="78">
        <v>35323448.399999999</v>
      </c>
      <c r="J14" s="77">
        <v>240</v>
      </c>
      <c r="K14" s="77" t="s">
        <v>13</v>
      </c>
      <c r="L14" s="77"/>
      <c r="M14" s="77" t="s">
        <v>137</v>
      </c>
      <c r="N14" s="78">
        <f>70403.33</f>
        <v>70403.33</v>
      </c>
      <c r="O14" s="78">
        <f>119424.77</f>
        <v>119424.77</v>
      </c>
      <c r="P14" s="78">
        <f>34971065</f>
        <v>34971065</v>
      </c>
      <c r="Q14" s="78">
        <f>162555.3</f>
        <v>162555.29999999999</v>
      </c>
      <c r="R14" s="78">
        <f>35323448.4</f>
        <v>35323448.399999999</v>
      </c>
      <c r="S14" s="83"/>
    </row>
    <row r="15" spans="1:19" s="82" customFormat="1" ht="56.25" x14ac:dyDescent="0.25">
      <c r="A15" s="74">
        <v>9</v>
      </c>
      <c r="B15" s="75"/>
      <c r="C15" s="76" t="s">
        <v>42</v>
      </c>
      <c r="D15" s="77" t="s">
        <v>22</v>
      </c>
      <c r="E15" s="78">
        <v>666215.92000000004</v>
      </c>
      <c r="F15" s="79"/>
      <c r="G15" s="77">
        <v>360</v>
      </c>
      <c r="H15" s="77">
        <v>7</v>
      </c>
      <c r="I15" s="78">
        <v>666215.92000000004</v>
      </c>
      <c r="J15" s="77">
        <v>240</v>
      </c>
      <c r="K15" s="77" t="s">
        <v>13</v>
      </c>
      <c r="L15" s="77"/>
      <c r="M15" s="77" t="s">
        <v>137</v>
      </c>
      <c r="N15" s="78">
        <v>71322.58</v>
      </c>
      <c r="O15" s="78">
        <v>121716.65</v>
      </c>
      <c r="P15" s="78">
        <v>307871.59999999998</v>
      </c>
      <c r="Q15" s="78">
        <v>165305.09</v>
      </c>
      <c r="R15" s="78">
        <v>666215.92000000004</v>
      </c>
      <c r="S15" s="83"/>
    </row>
    <row r="16" spans="1:19" s="82" customFormat="1" ht="56.25" x14ac:dyDescent="0.25">
      <c r="A16" s="74">
        <v>10</v>
      </c>
      <c r="B16" s="75"/>
      <c r="C16" s="76" t="s">
        <v>43</v>
      </c>
      <c r="D16" s="77" t="s">
        <v>22</v>
      </c>
      <c r="E16" s="78">
        <v>666215.92000000004</v>
      </c>
      <c r="F16" s="79"/>
      <c r="G16" s="77">
        <v>360</v>
      </c>
      <c r="H16" s="77">
        <v>7</v>
      </c>
      <c r="I16" s="78">
        <v>666215.92000000004</v>
      </c>
      <c r="J16" s="77">
        <v>240</v>
      </c>
      <c r="K16" s="77" t="s">
        <v>13</v>
      </c>
      <c r="L16" s="77"/>
      <c r="M16" s="77" t="s">
        <v>137</v>
      </c>
      <c r="N16" s="78">
        <v>71322.58</v>
      </c>
      <c r="O16" s="78">
        <v>121716.65</v>
      </c>
      <c r="P16" s="78">
        <v>307871.59999999998</v>
      </c>
      <c r="Q16" s="78">
        <v>165305.09</v>
      </c>
      <c r="R16" s="78">
        <v>666215.92000000004</v>
      </c>
      <c r="S16" s="83"/>
    </row>
    <row r="17" spans="1:19" s="82" customFormat="1" ht="56.25" x14ac:dyDescent="0.25">
      <c r="A17" s="74">
        <v>15</v>
      </c>
      <c r="B17" s="75"/>
      <c r="C17" s="76" t="s">
        <v>70</v>
      </c>
      <c r="D17" s="77" t="s">
        <v>22</v>
      </c>
      <c r="E17" s="78">
        <v>860011.26</v>
      </c>
      <c r="F17" s="79"/>
      <c r="G17" s="77">
        <v>360</v>
      </c>
      <c r="H17" s="77">
        <v>7</v>
      </c>
      <c r="I17" s="78">
        <v>860011.26</v>
      </c>
      <c r="J17" s="77">
        <v>240</v>
      </c>
      <c r="K17" s="77" t="s">
        <v>13</v>
      </c>
      <c r="L17" s="77"/>
      <c r="M17" s="77" t="s">
        <v>137</v>
      </c>
      <c r="N17" s="78">
        <v>71322.58</v>
      </c>
      <c r="O17" s="78">
        <v>121716.65</v>
      </c>
      <c r="P17" s="78">
        <v>501666.94</v>
      </c>
      <c r="Q17" s="78">
        <v>165305.09</v>
      </c>
      <c r="R17" s="78">
        <v>860011.26</v>
      </c>
      <c r="S17" s="83"/>
    </row>
    <row r="18" spans="1:19" s="82" customFormat="1" ht="56.25" x14ac:dyDescent="0.25">
      <c r="A18" s="74">
        <v>16</v>
      </c>
      <c r="B18" s="75"/>
      <c r="C18" s="76" t="s">
        <v>57</v>
      </c>
      <c r="D18" s="77" t="s">
        <v>22</v>
      </c>
      <c r="E18" s="78">
        <v>860011.26</v>
      </c>
      <c r="F18" s="79"/>
      <c r="G18" s="77">
        <v>360</v>
      </c>
      <c r="H18" s="77">
        <v>7</v>
      </c>
      <c r="I18" s="78">
        <v>860011.26</v>
      </c>
      <c r="J18" s="77">
        <v>240</v>
      </c>
      <c r="K18" s="77" t="s">
        <v>13</v>
      </c>
      <c r="L18" s="77"/>
      <c r="M18" s="77" t="s">
        <v>137</v>
      </c>
      <c r="N18" s="78">
        <v>71322.58</v>
      </c>
      <c r="O18" s="78">
        <v>121716.65</v>
      </c>
      <c r="P18" s="78">
        <v>501666.94</v>
      </c>
      <c r="Q18" s="78">
        <v>165305.09</v>
      </c>
      <c r="R18" s="78">
        <v>860011.26</v>
      </c>
      <c r="S18" s="83"/>
    </row>
    <row r="19" spans="1:19" s="82" customFormat="1" ht="56.25" x14ac:dyDescent="0.25">
      <c r="A19" s="74">
        <v>23</v>
      </c>
      <c r="B19" s="75"/>
      <c r="C19" s="76" t="s">
        <v>47</v>
      </c>
      <c r="D19" s="77" t="s">
        <v>22</v>
      </c>
      <c r="E19" s="78">
        <v>736943.15</v>
      </c>
      <c r="F19" s="79"/>
      <c r="G19" s="77">
        <v>360</v>
      </c>
      <c r="H19" s="77">
        <v>7</v>
      </c>
      <c r="I19" s="78">
        <v>736943.15</v>
      </c>
      <c r="J19" s="77">
        <v>240</v>
      </c>
      <c r="K19" s="77" t="s">
        <v>13</v>
      </c>
      <c r="L19" s="77"/>
      <c r="M19" s="77" t="s">
        <v>137</v>
      </c>
      <c r="N19" s="78">
        <v>62311.65</v>
      </c>
      <c r="O19" s="78">
        <v>87858.62</v>
      </c>
      <c r="P19" s="78">
        <v>458177.73</v>
      </c>
      <c r="Q19" s="78">
        <v>128595.15</v>
      </c>
      <c r="R19" s="78">
        <v>736943.15</v>
      </c>
      <c r="S19" s="83"/>
    </row>
    <row r="20" spans="1:19" s="82" customFormat="1" ht="56.25" x14ac:dyDescent="0.25">
      <c r="A20" s="74">
        <v>24</v>
      </c>
      <c r="B20" s="75"/>
      <c r="C20" s="76" t="s">
        <v>58</v>
      </c>
      <c r="D20" s="77" t="s">
        <v>22</v>
      </c>
      <c r="E20" s="78">
        <v>736943.15</v>
      </c>
      <c r="F20" s="79"/>
      <c r="G20" s="77">
        <v>360</v>
      </c>
      <c r="H20" s="77">
        <v>7</v>
      </c>
      <c r="I20" s="78">
        <v>736943.15</v>
      </c>
      <c r="J20" s="77">
        <v>240</v>
      </c>
      <c r="K20" s="77" t="s">
        <v>13</v>
      </c>
      <c r="L20" s="77"/>
      <c r="M20" s="77" t="s">
        <v>137</v>
      </c>
      <c r="N20" s="78">
        <v>62311.65</v>
      </c>
      <c r="O20" s="78">
        <v>87858.62</v>
      </c>
      <c r="P20" s="78">
        <v>458177.73</v>
      </c>
      <c r="Q20" s="78">
        <v>128595.15</v>
      </c>
      <c r="R20" s="78">
        <v>736943.15</v>
      </c>
      <c r="S20" s="83"/>
    </row>
    <row r="21" spans="1:19" s="82" customFormat="1" ht="56.25" x14ac:dyDescent="0.25">
      <c r="A21" s="74">
        <v>25</v>
      </c>
      <c r="B21" s="75"/>
      <c r="C21" s="76" t="s">
        <v>59</v>
      </c>
      <c r="D21" s="77" t="s">
        <v>22</v>
      </c>
      <c r="E21" s="78">
        <v>736943.15</v>
      </c>
      <c r="F21" s="79"/>
      <c r="G21" s="77">
        <v>360</v>
      </c>
      <c r="H21" s="77">
        <v>7</v>
      </c>
      <c r="I21" s="78">
        <v>736943.15</v>
      </c>
      <c r="J21" s="77">
        <v>240</v>
      </c>
      <c r="K21" s="77" t="s">
        <v>13</v>
      </c>
      <c r="L21" s="77"/>
      <c r="M21" s="77" t="s">
        <v>137</v>
      </c>
      <c r="N21" s="78">
        <v>62311.65</v>
      </c>
      <c r="O21" s="78">
        <v>87858.62</v>
      </c>
      <c r="P21" s="78">
        <v>458177.73</v>
      </c>
      <c r="Q21" s="78">
        <v>128595.15</v>
      </c>
      <c r="R21" s="78">
        <v>736943.15</v>
      </c>
      <c r="S21" s="83"/>
    </row>
    <row r="22" spans="1:19" s="82" customFormat="1" ht="56.25" x14ac:dyDescent="0.25">
      <c r="A22" s="74">
        <v>26</v>
      </c>
      <c r="B22" s="75"/>
      <c r="C22" s="76" t="s">
        <v>65</v>
      </c>
      <c r="D22" s="77" t="s">
        <v>22</v>
      </c>
      <c r="E22" s="78">
        <v>736943.15</v>
      </c>
      <c r="F22" s="79"/>
      <c r="G22" s="77">
        <v>360</v>
      </c>
      <c r="H22" s="77">
        <v>7</v>
      </c>
      <c r="I22" s="78">
        <v>736943.15</v>
      </c>
      <c r="J22" s="77">
        <v>240</v>
      </c>
      <c r="K22" s="77" t="s">
        <v>13</v>
      </c>
      <c r="L22" s="77"/>
      <c r="M22" s="77" t="s">
        <v>137</v>
      </c>
      <c r="N22" s="78">
        <v>62311.65</v>
      </c>
      <c r="O22" s="78">
        <v>87858.62</v>
      </c>
      <c r="P22" s="78">
        <v>458177.73</v>
      </c>
      <c r="Q22" s="78">
        <v>128595.15</v>
      </c>
      <c r="R22" s="78">
        <v>736943.15</v>
      </c>
      <c r="S22" s="83"/>
    </row>
    <row r="23" spans="1:19" s="82" customFormat="1" ht="56.25" x14ac:dyDescent="0.25">
      <c r="A23" s="74">
        <v>27</v>
      </c>
      <c r="B23" s="75"/>
      <c r="C23" s="76" t="s">
        <v>69</v>
      </c>
      <c r="D23" s="77" t="s">
        <v>22</v>
      </c>
      <c r="E23" s="78">
        <v>736943.15</v>
      </c>
      <c r="F23" s="79"/>
      <c r="G23" s="77">
        <v>360</v>
      </c>
      <c r="H23" s="77">
        <v>7</v>
      </c>
      <c r="I23" s="78">
        <v>736943.15</v>
      </c>
      <c r="J23" s="77">
        <v>240</v>
      </c>
      <c r="K23" s="77" t="s">
        <v>13</v>
      </c>
      <c r="L23" s="77"/>
      <c r="M23" s="77" t="s">
        <v>137</v>
      </c>
      <c r="N23" s="78">
        <v>62311.65</v>
      </c>
      <c r="O23" s="78">
        <v>87858.62</v>
      </c>
      <c r="P23" s="78">
        <v>458177.73</v>
      </c>
      <c r="Q23" s="78">
        <v>128595.15</v>
      </c>
      <c r="R23" s="78">
        <v>736943.15</v>
      </c>
      <c r="S23" s="83"/>
    </row>
    <row r="24" spans="1:19" s="82" customFormat="1" ht="56.25" x14ac:dyDescent="0.25">
      <c r="A24" s="74">
        <v>28</v>
      </c>
      <c r="B24" s="75"/>
      <c r="C24" s="76" t="s">
        <v>66</v>
      </c>
      <c r="D24" s="77" t="s">
        <v>22</v>
      </c>
      <c r="E24" s="78">
        <v>736943.15</v>
      </c>
      <c r="F24" s="79"/>
      <c r="G24" s="77">
        <v>360</v>
      </c>
      <c r="H24" s="77">
        <v>7</v>
      </c>
      <c r="I24" s="78">
        <v>736943.15</v>
      </c>
      <c r="J24" s="77">
        <v>240</v>
      </c>
      <c r="K24" s="77" t="s">
        <v>13</v>
      </c>
      <c r="L24" s="77"/>
      <c r="M24" s="77" t="s">
        <v>137</v>
      </c>
      <c r="N24" s="78">
        <v>62311.65</v>
      </c>
      <c r="O24" s="78">
        <v>87858.62</v>
      </c>
      <c r="P24" s="78">
        <v>458177.73</v>
      </c>
      <c r="Q24" s="78">
        <v>128595.15</v>
      </c>
      <c r="R24" s="78">
        <v>736943.15</v>
      </c>
      <c r="S24" s="83"/>
    </row>
    <row r="25" spans="1:19" s="82" customFormat="1" ht="56.25" x14ac:dyDescent="0.25">
      <c r="A25" s="74">
        <v>29</v>
      </c>
      <c r="B25" s="75"/>
      <c r="C25" s="76" t="s">
        <v>67</v>
      </c>
      <c r="D25" s="77" t="s">
        <v>22</v>
      </c>
      <c r="E25" s="78">
        <v>736943.15</v>
      </c>
      <c r="F25" s="79"/>
      <c r="G25" s="77">
        <v>360</v>
      </c>
      <c r="H25" s="77">
        <v>7</v>
      </c>
      <c r="I25" s="78">
        <v>736943.15</v>
      </c>
      <c r="J25" s="77">
        <v>240</v>
      </c>
      <c r="K25" s="77" t="s">
        <v>13</v>
      </c>
      <c r="L25" s="77"/>
      <c r="M25" s="77" t="s">
        <v>137</v>
      </c>
      <c r="N25" s="78">
        <v>62311.65</v>
      </c>
      <c r="O25" s="78">
        <v>87858.62</v>
      </c>
      <c r="P25" s="78">
        <v>458177.73</v>
      </c>
      <c r="Q25" s="78">
        <v>128595.15</v>
      </c>
      <c r="R25" s="78">
        <v>736943.15</v>
      </c>
      <c r="S25" s="83"/>
    </row>
    <row r="26" spans="1:19" s="82" customFormat="1" ht="56.25" x14ac:dyDescent="0.25">
      <c r="A26" s="74">
        <v>30</v>
      </c>
      <c r="B26" s="75"/>
      <c r="C26" s="76" t="s">
        <v>68</v>
      </c>
      <c r="D26" s="77" t="s">
        <v>22</v>
      </c>
      <c r="E26" s="78">
        <v>736943.15</v>
      </c>
      <c r="F26" s="79"/>
      <c r="G26" s="77">
        <v>360</v>
      </c>
      <c r="H26" s="77">
        <v>7</v>
      </c>
      <c r="I26" s="78">
        <v>736943.15</v>
      </c>
      <c r="J26" s="77">
        <v>240</v>
      </c>
      <c r="K26" s="77" t="s">
        <v>13</v>
      </c>
      <c r="L26" s="77"/>
      <c r="M26" s="77" t="s">
        <v>137</v>
      </c>
      <c r="N26" s="78">
        <v>62311.65</v>
      </c>
      <c r="O26" s="78">
        <v>87858.62</v>
      </c>
      <c r="P26" s="78">
        <v>458177.73</v>
      </c>
      <c r="Q26" s="78">
        <v>128595.15</v>
      </c>
      <c r="R26" s="78">
        <v>736943.15</v>
      </c>
      <c r="S26" s="83"/>
    </row>
    <row r="27" spans="1:19" s="82" customFormat="1" ht="56.25" x14ac:dyDescent="0.25">
      <c r="A27" s="74">
        <v>31</v>
      </c>
      <c r="B27" s="75"/>
      <c r="C27" s="76" t="s">
        <v>48</v>
      </c>
      <c r="D27" s="77" t="s">
        <v>22</v>
      </c>
      <c r="E27" s="78">
        <v>736943.15</v>
      </c>
      <c r="F27" s="79"/>
      <c r="G27" s="77">
        <v>360</v>
      </c>
      <c r="H27" s="77">
        <v>7</v>
      </c>
      <c r="I27" s="78">
        <v>736943.15</v>
      </c>
      <c r="J27" s="77">
        <v>240</v>
      </c>
      <c r="K27" s="77" t="s">
        <v>13</v>
      </c>
      <c r="L27" s="77"/>
      <c r="M27" s="77" t="s">
        <v>137</v>
      </c>
      <c r="N27" s="78">
        <v>62311.65</v>
      </c>
      <c r="O27" s="78">
        <v>87858.62</v>
      </c>
      <c r="P27" s="78">
        <v>458177.73</v>
      </c>
      <c r="Q27" s="78">
        <v>128595.15</v>
      </c>
      <c r="R27" s="78">
        <v>736943.15</v>
      </c>
      <c r="S27" s="83"/>
    </row>
    <row r="28" spans="1:19" s="82" customFormat="1" ht="56.25" x14ac:dyDescent="0.25">
      <c r="A28" s="74">
        <v>32</v>
      </c>
      <c r="B28" s="75"/>
      <c r="C28" s="76" t="s">
        <v>49</v>
      </c>
      <c r="D28" s="77" t="s">
        <v>22</v>
      </c>
      <c r="E28" s="78">
        <v>580550.77</v>
      </c>
      <c r="F28" s="79"/>
      <c r="G28" s="77">
        <v>360</v>
      </c>
      <c r="H28" s="77">
        <v>7</v>
      </c>
      <c r="I28" s="78">
        <v>580550.77</v>
      </c>
      <c r="J28" s="77">
        <v>240</v>
      </c>
      <c r="K28" s="77" t="s">
        <v>13</v>
      </c>
      <c r="L28" s="77"/>
      <c r="M28" s="77" t="s">
        <v>137</v>
      </c>
      <c r="N28" s="78">
        <v>60891.31</v>
      </c>
      <c r="O28" s="78">
        <v>90481.65</v>
      </c>
      <c r="P28" s="78">
        <v>299552.76</v>
      </c>
      <c r="Q28" s="78">
        <v>129625.05</v>
      </c>
      <c r="R28" s="78">
        <v>580550.77</v>
      </c>
      <c r="S28" s="83"/>
    </row>
    <row r="29" spans="1:19" s="82" customFormat="1" ht="56.25" x14ac:dyDescent="0.25">
      <c r="A29" s="74">
        <v>33</v>
      </c>
      <c r="B29" s="75"/>
      <c r="C29" s="76" t="s">
        <v>60</v>
      </c>
      <c r="D29" s="77" t="s">
        <v>22</v>
      </c>
      <c r="E29" s="78">
        <v>580550.77</v>
      </c>
      <c r="F29" s="79"/>
      <c r="G29" s="77">
        <v>360</v>
      </c>
      <c r="H29" s="77">
        <v>7</v>
      </c>
      <c r="I29" s="78">
        <v>580550.77</v>
      </c>
      <c r="J29" s="77">
        <v>240</v>
      </c>
      <c r="K29" s="77" t="s">
        <v>13</v>
      </c>
      <c r="L29" s="77"/>
      <c r="M29" s="77" t="s">
        <v>137</v>
      </c>
      <c r="N29" s="78">
        <v>60891.31</v>
      </c>
      <c r="O29" s="78">
        <v>90481.65</v>
      </c>
      <c r="P29" s="78">
        <v>299552.76</v>
      </c>
      <c r="Q29" s="78">
        <v>129625.05</v>
      </c>
      <c r="R29" s="78">
        <v>580550.77</v>
      </c>
      <c r="S29" s="83"/>
    </row>
    <row r="30" spans="1:19" s="82" customFormat="1" ht="56.25" x14ac:dyDescent="0.25">
      <c r="A30" s="74">
        <v>34</v>
      </c>
      <c r="B30" s="75"/>
      <c r="C30" s="76" t="s">
        <v>61</v>
      </c>
      <c r="D30" s="77" t="s">
        <v>22</v>
      </c>
      <c r="E30" s="78">
        <v>580550.77</v>
      </c>
      <c r="F30" s="79"/>
      <c r="G30" s="77">
        <v>360</v>
      </c>
      <c r="H30" s="77">
        <v>7</v>
      </c>
      <c r="I30" s="78">
        <v>580550.77</v>
      </c>
      <c r="J30" s="77">
        <v>240</v>
      </c>
      <c r="K30" s="77" t="s">
        <v>13</v>
      </c>
      <c r="L30" s="77"/>
      <c r="M30" s="77" t="s">
        <v>137</v>
      </c>
      <c r="N30" s="78">
        <v>60891.31</v>
      </c>
      <c r="O30" s="78">
        <v>90481.65</v>
      </c>
      <c r="P30" s="78">
        <v>299552.76</v>
      </c>
      <c r="Q30" s="78">
        <v>129625.05</v>
      </c>
      <c r="R30" s="78">
        <v>580550.77</v>
      </c>
      <c r="S30" s="83"/>
    </row>
    <row r="31" spans="1:19" s="82" customFormat="1" ht="56.25" x14ac:dyDescent="0.25">
      <c r="A31" s="74">
        <v>35</v>
      </c>
      <c r="B31" s="75"/>
      <c r="C31" s="76" t="s">
        <v>50</v>
      </c>
      <c r="D31" s="77" t="s">
        <v>22</v>
      </c>
      <c r="E31" s="78">
        <v>580550.77</v>
      </c>
      <c r="F31" s="79"/>
      <c r="G31" s="77">
        <v>360</v>
      </c>
      <c r="H31" s="77">
        <v>7</v>
      </c>
      <c r="I31" s="78">
        <v>580550.77</v>
      </c>
      <c r="J31" s="77">
        <v>240</v>
      </c>
      <c r="K31" s="77" t="s">
        <v>13</v>
      </c>
      <c r="L31" s="77"/>
      <c r="M31" s="77" t="s">
        <v>137</v>
      </c>
      <c r="N31" s="78">
        <v>60891.31</v>
      </c>
      <c r="O31" s="78">
        <v>90481.65</v>
      </c>
      <c r="P31" s="78">
        <v>299552.76</v>
      </c>
      <c r="Q31" s="78">
        <v>129625.05</v>
      </c>
      <c r="R31" s="78">
        <v>580550.77</v>
      </c>
      <c r="S31" s="83"/>
    </row>
    <row r="32" spans="1:19" s="82" customFormat="1" ht="56.25" x14ac:dyDescent="0.25">
      <c r="A32" s="74">
        <v>36</v>
      </c>
      <c r="B32" s="75"/>
      <c r="C32" s="76" t="s">
        <v>51</v>
      </c>
      <c r="D32" s="77" t="s">
        <v>22</v>
      </c>
      <c r="E32" s="78">
        <v>580550.77</v>
      </c>
      <c r="F32" s="79"/>
      <c r="G32" s="77">
        <v>360</v>
      </c>
      <c r="H32" s="77">
        <v>7</v>
      </c>
      <c r="I32" s="78">
        <v>580550.77</v>
      </c>
      <c r="J32" s="77">
        <v>240</v>
      </c>
      <c r="K32" s="77" t="s">
        <v>13</v>
      </c>
      <c r="L32" s="77"/>
      <c r="M32" s="77" t="s">
        <v>137</v>
      </c>
      <c r="N32" s="78">
        <v>60891.31</v>
      </c>
      <c r="O32" s="78">
        <v>90481.65</v>
      </c>
      <c r="P32" s="78">
        <v>299552.76</v>
      </c>
      <c r="Q32" s="78">
        <v>129625.05</v>
      </c>
      <c r="R32" s="78">
        <v>580550.77</v>
      </c>
      <c r="S32" s="83"/>
    </row>
    <row r="33" spans="1:26" s="82" customFormat="1" ht="56.25" x14ac:dyDescent="0.25">
      <c r="A33" s="74">
        <v>37</v>
      </c>
      <c r="B33" s="75"/>
      <c r="C33" s="76" t="s">
        <v>52</v>
      </c>
      <c r="D33" s="77" t="s">
        <v>22</v>
      </c>
      <c r="E33" s="78">
        <v>580550.77</v>
      </c>
      <c r="F33" s="79"/>
      <c r="G33" s="77">
        <v>360</v>
      </c>
      <c r="H33" s="77">
        <v>7</v>
      </c>
      <c r="I33" s="78">
        <v>580550.77</v>
      </c>
      <c r="J33" s="77">
        <v>240</v>
      </c>
      <c r="K33" s="77" t="s">
        <v>13</v>
      </c>
      <c r="L33" s="77"/>
      <c r="M33" s="77" t="s">
        <v>137</v>
      </c>
      <c r="N33" s="78">
        <v>60891.31</v>
      </c>
      <c r="O33" s="78">
        <v>90481.65</v>
      </c>
      <c r="P33" s="78">
        <v>299552.76</v>
      </c>
      <c r="Q33" s="78">
        <v>129625.05</v>
      </c>
      <c r="R33" s="78">
        <v>580550.77</v>
      </c>
      <c r="S33" s="83"/>
    </row>
    <row r="34" spans="1:26" s="82" customFormat="1" ht="56.25" x14ac:dyDescent="0.25">
      <c r="A34" s="74">
        <v>38</v>
      </c>
      <c r="B34" s="75"/>
      <c r="C34" s="76" t="s">
        <v>83</v>
      </c>
      <c r="D34" s="77" t="s">
        <v>22</v>
      </c>
      <c r="E34" s="78">
        <v>719871.26</v>
      </c>
      <c r="F34" s="79"/>
      <c r="G34" s="77">
        <v>360</v>
      </c>
      <c r="H34" s="77">
        <v>7</v>
      </c>
      <c r="I34" s="78">
        <v>719871.26</v>
      </c>
      <c r="J34" s="77">
        <v>240</v>
      </c>
      <c r="K34" s="77" t="s">
        <v>13</v>
      </c>
      <c r="L34" s="77"/>
      <c r="M34" s="77" t="s">
        <v>137</v>
      </c>
      <c r="N34" s="78">
        <v>83743.13</v>
      </c>
      <c r="O34" s="78">
        <v>101666.15</v>
      </c>
      <c r="P34" s="78">
        <v>375690.64</v>
      </c>
      <c r="Q34" s="78">
        <v>158771.34</v>
      </c>
      <c r="R34" s="78">
        <v>719871.26</v>
      </c>
      <c r="S34" s="83"/>
    </row>
    <row r="35" spans="1:26" s="82" customFormat="1" ht="56.25" x14ac:dyDescent="0.25">
      <c r="A35" s="74">
        <v>39</v>
      </c>
      <c r="B35" s="75"/>
      <c r="C35" s="76" t="s">
        <v>83</v>
      </c>
      <c r="D35" s="77" t="s">
        <v>22</v>
      </c>
      <c r="E35" s="78">
        <v>719871.26</v>
      </c>
      <c r="F35" s="79"/>
      <c r="G35" s="77">
        <v>360</v>
      </c>
      <c r="H35" s="77">
        <v>7</v>
      </c>
      <c r="I35" s="78">
        <v>719871.26</v>
      </c>
      <c r="J35" s="77">
        <v>240</v>
      </c>
      <c r="K35" s="77" t="s">
        <v>13</v>
      </c>
      <c r="L35" s="77"/>
      <c r="M35" s="77" t="s">
        <v>137</v>
      </c>
      <c r="N35" s="78">
        <v>83743.13</v>
      </c>
      <c r="O35" s="78">
        <v>101666.15</v>
      </c>
      <c r="P35" s="78">
        <v>375690.64</v>
      </c>
      <c r="Q35" s="78">
        <v>158771.34</v>
      </c>
      <c r="R35" s="78">
        <v>719871.26</v>
      </c>
      <c r="S35" s="83"/>
    </row>
    <row r="36" spans="1:26" s="82" customFormat="1" ht="56.25" x14ac:dyDescent="0.25">
      <c r="A36" s="74">
        <v>40</v>
      </c>
      <c r="B36" s="75"/>
      <c r="C36" s="76" t="s">
        <v>62</v>
      </c>
      <c r="D36" s="77" t="s">
        <v>22</v>
      </c>
      <c r="E36" s="78">
        <v>332652.15999999997</v>
      </c>
      <c r="F36" s="79"/>
      <c r="G36" s="77">
        <v>360</v>
      </c>
      <c r="H36" s="77">
        <v>7</v>
      </c>
      <c r="I36" s="78">
        <v>332652.15999999997</v>
      </c>
      <c r="J36" s="77">
        <v>240</v>
      </c>
      <c r="K36" s="77" t="s">
        <v>13</v>
      </c>
      <c r="L36" s="77"/>
      <c r="M36" s="77" t="s">
        <v>137</v>
      </c>
      <c r="N36" s="78">
        <v>51795.51</v>
      </c>
      <c r="O36" s="78">
        <v>88940.27</v>
      </c>
      <c r="P36" s="78">
        <v>71400.25</v>
      </c>
      <c r="Q36" s="78">
        <v>120516.13</v>
      </c>
      <c r="R36" s="78">
        <v>332652.15999999997</v>
      </c>
      <c r="S36" s="83"/>
    </row>
    <row r="37" spans="1:26" s="82" customFormat="1" ht="56.25" x14ac:dyDescent="0.25">
      <c r="A37" s="74">
        <v>41</v>
      </c>
      <c r="B37" s="75"/>
      <c r="C37" s="76" t="s">
        <v>63</v>
      </c>
      <c r="D37" s="77" t="s">
        <v>22</v>
      </c>
      <c r="E37" s="78">
        <v>332652.15999999997</v>
      </c>
      <c r="F37" s="79"/>
      <c r="G37" s="77">
        <v>360</v>
      </c>
      <c r="H37" s="77">
        <v>7</v>
      </c>
      <c r="I37" s="78">
        <v>332652.15999999997</v>
      </c>
      <c r="J37" s="77">
        <v>240</v>
      </c>
      <c r="K37" s="77" t="s">
        <v>13</v>
      </c>
      <c r="L37" s="77"/>
      <c r="M37" s="77" t="s">
        <v>137</v>
      </c>
      <c r="N37" s="78">
        <v>51795.51</v>
      </c>
      <c r="O37" s="78">
        <v>88940.27</v>
      </c>
      <c r="P37" s="78">
        <v>71400.25</v>
      </c>
      <c r="Q37" s="78">
        <v>120516.13</v>
      </c>
      <c r="R37" s="78">
        <v>332652.15999999997</v>
      </c>
      <c r="S37" s="83"/>
    </row>
    <row r="38" spans="1:26" s="82" customFormat="1" ht="56.25" x14ac:dyDescent="0.25">
      <c r="A38" s="74">
        <v>42</v>
      </c>
      <c r="B38" s="75"/>
      <c r="C38" s="76" t="s">
        <v>64</v>
      </c>
      <c r="D38" s="77" t="s">
        <v>22</v>
      </c>
      <c r="E38" s="78">
        <v>332652.15999999997</v>
      </c>
      <c r="F38" s="79"/>
      <c r="G38" s="77">
        <v>360</v>
      </c>
      <c r="H38" s="77">
        <v>7</v>
      </c>
      <c r="I38" s="78">
        <v>332652.15999999997</v>
      </c>
      <c r="J38" s="77">
        <v>240</v>
      </c>
      <c r="K38" s="77" t="s">
        <v>13</v>
      </c>
      <c r="L38" s="77"/>
      <c r="M38" s="77" t="s">
        <v>137</v>
      </c>
      <c r="N38" s="78">
        <v>51795.51</v>
      </c>
      <c r="O38" s="78">
        <v>88940.27</v>
      </c>
      <c r="P38" s="78">
        <v>71400.25</v>
      </c>
      <c r="Q38" s="78">
        <v>120516.13</v>
      </c>
      <c r="R38" s="78">
        <v>332652.15999999997</v>
      </c>
      <c r="S38" s="83"/>
    </row>
    <row r="39" spans="1:26" s="82" customFormat="1" ht="56.25" x14ac:dyDescent="0.25">
      <c r="A39" s="74">
        <v>43</v>
      </c>
      <c r="B39" s="75"/>
      <c r="C39" s="76" t="s">
        <v>53</v>
      </c>
      <c r="D39" s="77" t="s">
        <v>22</v>
      </c>
      <c r="E39" s="78">
        <v>332652.15999999997</v>
      </c>
      <c r="F39" s="79"/>
      <c r="G39" s="77">
        <v>360</v>
      </c>
      <c r="H39" s="77">
        <v>7</v>
      </c>
      <c r="I39" s="78">
        <v>332652.15999999997</v>
      </c>
      <c r="J39" s="77">
        <v>240</v>
      </c>
      <c r="K39" s="77" t="s">
        <v>13</v>
      </c>
      <c r="L39" s="77"/>
      <c r="M39" s="77" t="s">
        <v>137</v>
      </c>
      <c r="N39" s="78">
        <v>51795.51</v>
      </c>
      <c r="O39" s="78">
        <v>88940.27</v>
      </c>
      <c r="P39" s="78">
        <v>71400.25</v>
      </c>
      <c r="Q39" s="78">
        <v>120516.13</v>
      </c>
      <c r="R39" s="78">
        <v>332652.15999999997</v>
      </c>
      <c r="S39" s="83"/>
    </row>
    <row r="40" spans="1:26" s="82" customFormat="1" ht="56.25" x14ac:dyDescent="0.25">
      <c r="A40" s="74">
        <v>44</v>
      </c>
      <c r="B40" s="75"/>
      <c r="C40" s="76" t="s">
        <v>54</v>
      </c>
      <c r="D40" s="77" t="s">
        <v>22</v>
      </c>
      <c r="E40" s="78">
        <v>332652.15999999997</v>
      </c>
      <c r="F40" s="79"/>
      <c r="G40" s="77">
        <v>360</v>
      </c>
      <c r="H40" s="77">
        <v>7</v>
      </c>
      <c r="I40" s="78">
        <v>332652.15999999997</v>
      </c>
      <c r="J40" s="77">
        <v>240</v>
      </c>
      <c r="K40" s="77" t="s">
        <v>13</v>
      </c>
      <c r="L40" s="77"/>
      <c r="M40" s="77" t="s">
        <v>137</v>
      </c>
      <c r="N40" s="78">
        <v>51795.51</v>
      </c>
      <c r="O40" s="78">
        <v>88940.27</v>
      </c>
      <c r="P40" s="78">
        <v>71400.25</v>
      </c>
      <c r="Q40" s="78">
        <v>120516.13</v>
      </c>
      <c r="R40" s="78">
        <v>332652.15999999997</v>
      </c>
      <c r="S40" s="83"/>
    </row>
    <row r="41" spans="1:26" s="82" customFormat="1" ht="56.25" x14ac:dyDescent="0.25">
      <c r="A41" s="74">
        <v>45</v>
      </c>
      <c r="B41" s="75"/>
      <c r="C41" s="76" t="s">
        <v>55</v>
      </c>
      <c r="D41" s="77" t="s">
        <v>22</v>
      </c>
      <c r="E41" s="78">
        <v>332652.15999999997</v>
      </c>
      <c r="F41" s="79"/>
      <c r="G41" s="77">
        <v>360</v>
      </c>
      <c r="H41" s="77">
        <v>7</v>
      </c>
      <c r="I41" s="78">
        <v>332652.15999999997</v>
      </c>
      <c r="J41" s="77">
        <v>240</v>
      </c>
      <c r="K41" s="77" t="s">
        <v>13</v>
      </c>
      <c r="L41" s="77"/>
      <c r="M41" s="77" t="s">
        <v>137</v>
      </c>
      <c r="N41" s="78">
        <v>51795.51</v>
      </c>
      <c r="O41" s="78">
        <v>88940.27</v>
      </c>
      <c r="P41" s="78">
        <v>71400.25</v>
      </c>
      <c r="Q41" s="78">
        <v>120516.13</v>
      </c>
      <c r="R41" s="78">
        <v>332652.15999999997</v>
      </c>
      <c r="S41" s="83"/>
    </row>
    <row r="42" spans="1:26" s="82" customFormat="1" ht="56.25" x14ac:dyDescent="0.25">
      <c r="A42" s="74">
        <v>46</v>
      </c>
      <c r="B42" s="75"/>
      <c r="C42" s="76" t="s">
        <v>56</v>
      </c>
      <c r="D42" s="77" t="s">
        <v>22</v>
      </c>
      <c r="E42" s="78">
        <v>1081291.73</v>
      </c>
      <c r="F42" s="79"/>
      <c r="G42" s="77">
        <v>360</v>
      </c>
      <c r="H42" s="77">
        <v>7</v>
      </c>
      <c r="I42" s="78">
        <v>1081291.73</v>
      </c>
      <c r="J42" s="77">
        <v>240</v>
      </c>
      <c r="K42" s="77" t="s">
        <v>13</v>
      </c>
      <c r="L42" s="77"/>
      <c r="M42" s="77" t="s">
        <v>137</v>
      </c>
      <c r="N42" s="78">
        <v>87981.83</v>
      </c>
      <c r="O42" s="78">
        <v>323050.77</v>
      </c>
      <c r="P42" s="78">
        <v>318280</v>
      </c>
      <c r="Q42" s="78">
        <v>351979.13</v>
      </c>
      <c r="R42" s="78">
        <v>1081291.73</v>
      </c>
      <c r="S42" s="83"/>
    </row>
    <row r="43" spans="1:26" s="82" customFormat="1" ht="37.5" x14ac:dyDescent="0.25">
      <c r="A43" s="74">
        <v>49</v>
      </c>
      <c r="B43" s="75"/>
      <c r="C43" s="76" t="s">
        <v>127</v>
      </c>
      <c r="D43" s="77" t="s">
        <v>18</v>
      </c>
      <c r="E43" s="84">
        <v>12742627.140000001</v>
      </c>
      <c r="F43" s="79"/>
      <c r="G43" s="77">
        <v>120</v>
      </c>
      <c r="H43" s="77">
        <v>5</v>
      </c>
      <c r="I43" s="84">
        <v>12742627.140000001</v>
      </c>
      <c r="J43" s="77">
        <v>120</v>
      </c>
      <c r="K43" s="77" t="s">
        <v>13</v>
      </c>
      <c r="L43" s="77"/>
      <c r="M43" s="77" t="s">
        <v>137</v>
      </c>
      <c r="N43" s="78">
        <v>2677310</v>
      </c>
      <c r="O43" s="78">
        <v>400000</v>
      </c>
      <c r="P43" s="78">
        <v>7030127.4199999999</v>
      </c>
      <c r="Q43" s="78">
        <v>2635189.7200000002</v>
      </c>
      <c r="R43" s="78">
        <v>12742627.140000001</v>
      </c>
      <c r="U43" s="80"/>
      <c r="V43" s="85"/>
      <c r="W43" s="81"/>
      <c r="X43" s="81"/>
      <c r="Y43" s="83"/>
    </row>
    <row r="44" spans="1:26" s="82" customFormat="1" ht="37.5" x14ac:dyDescent="0.25">
      <c r="A44" s="74">
        <v>50</v>
      </c>
      <c r="B44" s="74"/>
      <c r="C44" s="76" t="s">
        <v>126</v>
      </c>
      <c r="D44" s="77" t="s">
        <v>18</v>
      </c>
      <c r="E44" s="78">
        <v>6908391.4000000004</v>
      </c>
      <c r="F44" s="79"/>
      <c r="G44" s="77">
        <v>84</v>
      </c>
      <c r="H44" s="77">
        <v>4</v>
      </c>
      <c r="I44" s="78">
        <v>6908391.4000000004</v>
      </c>
      <c r="J44" s="86">
        <v>84</v>
      </c>
      <c r="K44" s="77" t="s">
        <v>13</v>
      </c>
      <c r="L44" s="77"/>
      <c r="M44" s="77" t="s">
        <v>137</v>
      </c>
      <c r="N44" s="78">
        <v>3718070</v>
      </c>
      <c r="O44" s="78">
        <v>3464</v>
      </c>
      <c r="P44" s="78"/>
      <c r="Q44" s="78">
        <v>3186857.4</v>
      </c>
      <c r="R44" s="78">
        <v>6908391.4000000004</v>
      </c>
      <c r="S44" s="83"/>
    </row>
    <row r="45" spans="1:26" s="82" customFormat="1" ht="37.5" x14ac:dyDescent="0.25">
      <c r="A45" s="74">
        <v>51</v>
      </c>
      <c r="B45" s="74"/>
      <c r="C45" s="76" t="s">
        <v>128</v>
      </c>
      <c r="D45" s="77" t="s">
        <v>18</v>
      </c>
      <c r="E45" s="78">
        <v>1407606.96</v>
      </c>
      <c r="F45" s="79"/>
      <c r="G45" s="77">
        <v>180</v>
      </c>
      <c r="H45" s="77">
        <v>6</v>
      </c>
      <c r="I45" s="78">
        <v>1407606.96</v>
      </c>
      <c r="J45" s="86">
        <v>180</v>
      </c>
      <c r="K45" s="77" t="s">
        <v>13</v>
      </c>
      <c r="L45" s="77"/>
      <c r="M45" s="77" t="s">
        <v>137</v>
      </c>
      <c r="N45" s="78">
        <f>758274.52</f>
        <v>758274.52</v>
      </c>
      <c r="O45" s="78"/>
      <c r="P45" s="78"/>
      <c r="Q45" s="78">
        <f>649332.44</f>
        <v>649332.43999999994</v>
      </c>
      <c r="R45" s="78">
        <f>1407606.96</f>
        <v>1407606.96</v>
      </c>
      <c r="S45" s="83"/>
    </row>
    <row r="46" spans="1:26" s="82" customFormat="1" ht="56.25" x14ac:dyDescent="0.25">
      <c r="A46" s="74">
        <v>52</v>
      </c>
      <c r="B46" s="74"/>
      <c r="C46" s="76" t="s">
        <v>129</v>
      </c>
      <c r="D46" s="77" t="s">
        <v>22</v>
      </c>
      <c r="E46" s="78">
        <v>5422110.3700000001</v>
      </c>
      <c r="F46" s="79"/>
      <c r="G46" s="77">
        <v>120</v>
      </c>
      <c r="H46" s="77">
        <v>5</v>
      </c>
      <c r="I46" s="78">
        <v>5422110.3700000001</v>
      </c>
      <c r="J46" s="86">
        <v>120</v>
      </c>
      <c r="K46" s="77" t="s">
        <v>13</v>
      </c>
      <c r="L46" s="77"/>
      <c r="M46" s="77" t="s">
        <v>137</v>
      </c>
      <c r="N46" s="78">
        <v>673583.24</v>
      </c>
      <c r="O46" s="78">
        <v>1621092.66</v>
      </c>
      <c r="P46" s="78">
        <v>1162437</v>
      </c>
      <c r="Q46" s="78">
        <v>1964997.47</v>
      </c>
      <c r="R46" s="78">
        <v>5422110.3700000001</v>
      </c>
      <c r="S46" s="83"/>
    </row>
    <row r="47" spans="1:26" s="82" customFormat="1" ht="37.5" x14ac:dyDescent="0.25">
      <c r="A47" s="74">
        <v>53</v>
      </c>
      <c r="B47" s="87"/>
      <c r="C47" s="76" t="s">
        <v>130</v>
      </c>
      <c r="D47" s="77" t="s">
        <v>18</v>
      </c>
      <c r="E47" s="78">
        <v>2648499.7999999998</v>
      </c>
      <c r="F47" s="79"/>
      <c r="G47" s="87" t="s">
        <v>25</v>
      </c>
      <c r="H47" s="77">
        <v>5</v>
      </c>
      <c r="I47" s="78">
        <v>2648499.7999999998</v>
      </c>
      <c r="J47" s="87" t="s">
        <v>25</v>
      </c>
      <c r="K47" s="77" t="s">
        <v>13</v>
      </c>
      <c r="L47" s="77"/>
      <c r="M47" s="77" t="s">
        <v>137</v>
      </c>
      <c r="N47" s="78">
        <f>938339</f>
        <v>938339</v>
      </c>
      <c r="O47" s="78">
        <f>35703.22</f>
        <v>35703.22</v>
      </c>
      <c r="P47" s="78">
        <f>840357</f>
        <v>840357</v>
      </c>
      <c r="Q47" s="78">
        <f>834100.58</f>
        <v>834100.58</v>
      </c>
      <c r="R47" s="78">
        <f>2648499.8</f>
        <v>2648499.7999999998</v>
      </c>
      <c r="V47" s="80"/>
      <c r="W47" s="85"/>
      <c r="Z47" s="83"/>
    </row>
    <row r="48" spans="1:26" s="82" customFormat="1" ht="37.5" x14ac:dyDescent="0.25">
      <c r="A48" s="74">
        <v>54</v>
      </c>
      <c r="B48" s="87"/>
      <c r="C48" s="76" t="s">
        <v>131</v>
      </c>
      <c r="D48" s="77" t="s">
        <v>18</v>
      </c>
      <c r="E48" s="78">
        <v>1044331.7</v>
      </c>
      <c r="F48" s="79"/>
      <c r="G48" s="87" t="s">
        <v>82</v>
      </c>
      <c r="H48" s="77">
        <v>7</v>
      </c>
      <c r="I48" s="78">
        <v>1044331.7</v>
      </c>
      <c r="J48" s="87" t="s">
        <v>82</v>
      </c>
      <c r="K48" s="77" t="s">
        <v>13</v>
      </c>
      <c r="L48" s="77"/>
      <c r="M48" s="77" t="s">
        <v>137</v>
      </c>
      <c r="N48" s="78">
        <f>562579</f>
        <v>562579</v>
      </c>
      <c r="O48" s="78"/>
      <c r="P48" s="78"/>
      <c r="Q48" s="78">
        <f>481752.7</f>
        <v>481752.7</v>
      </c>
      <c r="R48" s="78">
        <f>1044331.7</f>
        <v>1044331.7</v>
      </c>
      <c r="V48" s="80"/>
      <c r="W48" s="85"/>
      <c r="Z48" s="83"/>
    </row>
    <row r="49" spans="1:20" s="82" customFormat="1" ht="37.5" x14ac:dyDescent="0.25">
      <c r="A49" s="74">
        <v>55</v>
      </c>
      <c r="B49" s="74"/>
      <c r="C49" s="76" t="s">
        <v>132</v>
      </c>
      <c r="D49" s="77" t="s">
        <v>18</v>
      </c>
      <c r="E49" s="78">
        <v>2900410.07</v>
      </c>
      <c r="F49" s="79"/>
      <c r="G49" s="77">
        <v>240</v>
      </c>
      <c r="H49" s="77">
        <v>7</v>
      </c>
      <c r="I49" s="78">
        <v>2900410.07</v>
      </c>
      <c r="J49" s="86">
        <v>240</v>
      </c>
      <c r="K49" s="77" t="s">
        <v>13</v>
      </c>
      <c r="L49" s="77"/>
      <c r="M49" s="77" t="s">
        <v>137</v>
      </c>
      <c r="N49" s="78">
        <v>1562444</v>
      </c>
      <c r="O49" s="78"/>
      <c r="P49" s="78"/>
      <c r="Q49" s="78">
        <v>1337966.07</v>
      </c>
      <c r="R49" s="78">
        <v>2900410.07</v>
      </c>
      <c r="S49" s="81"/>
      <c r="T49" s="83"/>
    </row>
    <row r="50" spans="1:20" s="82" customFormat="1" ht="37.5" x14ac:dyDescent="0.25">
      <c r="A50" s="74">
        <v>60</v>
      </c>
      <c r="B50" s="75" t="s">
        <v>26</v>
      </c>
      <c r="C50" s="76" t="s">
        <v>133</v>
      </c>
      <c r="D50" s="77" t="s">
        <v>23</v>
      </c>
      <c r="E50" s="84">
        <v>18240191.539999999</v>
      </c>
      <c r="F50" s="79"/>
      <c r="G50" s="77"/>
      <c r="H50" s="77"/>
      <c r="I50" s="84">
        <v>18240191.539999999</v>
      </c>
      <c r="J50" s="86"/>
      <c r="K50" s="77" t="s">
        <v>19</v>
      </c>
      <c r="L50" s="77"/>
      <c r="M50" s="77" t="s">
        <v>137</v>
      </c>
      <c r="N50" s="78">
        <v>9085346.0099999998</v>
      </c>
      <c r="O50" s="78">
        <v>595184.09</v>
      </c>
      <c r="P50" s="78">
        <v>269943</v>
      </c>
      <c r="Q50" s="78">
        <v>8289718.4400000004</v>
      </c>
      <c r="R50" s="78">
        <v>18240191.539999999</v>
      </c>
      <c r="S50" s="83"/>
    </row>
    <row r="51" spans="1:20" s="82" customFormat="1" ht="56.25" x14ac:dyDescent="0.25">
      <c r="A51" s="74">
        <v>61</v>
      </c>
      <c r="B51" s="87"/>
      <c r="C51" s="76" t="s">
        <v>27</v>
      </c>
      <c r="D51" s="77" t="s">
        <v>22</v>
      </c>
      <c r="E51" s="78">
        <v>114484.77</v>
      </c>
      <c r="F51" s="79"/>
      <c r="G51" s="77">
        <v>120</v>
      </c>
      <c r="H51" s="77"/>
      <c r="I51" s="78">
        <v>114484.77</v>
      </c>
      <c r="J51" s="86"/>
      <c r="K51" s="77" t="s">
        <v>13</v>
      </c>
      <c r="L51" s="77"/>
      <c r="M51" s="77" t="s">
        <v>137</v>
      </c>
      <c r="N51" s="78">
        <v>2562</v>
      </c>
      <c r="O51" s="78">
        <v>436</v>
      </c>
      <c r="P51" s="78">
        <v>108919.5</v>
      </c>
      <c r="Q51" s="78">
        <v>2567.27</v>
      </c>
      <c r="R51" s="78">
        <v>114484.77</v>
      </c>
      <c r="S51" s="81"/>
      <c r="T51" s="83"/>
    </row>
    <row r="52" spans="1:20" s="82" customFormat="1" ht="56.25" x14ac:dyDescent="0.25">
      <c r="A52" s="74">
        <v>62</v>
      </c>
      <c r="B52" s="87"/>
      <c r="C52" s="76" t="s">
        <v>28</v>
      </c>
      <c r="D52" s="77" t="s">
        <v>22</v>
      </c>
      <c r="E52" s="78">
        <v>114484.77</v>
      </c>
      <c r="F52" s="79"/>
      <c r="G52" s="77">
        <v>120</v>
      </c>
      <c r="H52" s="77"/>
      <c r="I52" s="78">
        <v>114484.77</v>
      </c>
      <c r="J52" s="86"/>
      <c r="K52" s="77" t="s">
        <v>13</v>
      </c>
      <c r="L52" s="77"/>
      <c r="M52" s="77" t="s">
        <v>137</v>
      </c>
      <c r="N52" s="78">
        <v>2562</v>
      </c>
      <c r="O52" s="78">
        <v>436</v>
      </c>
      <c r="P52" s="78">
        <v>108919.5</v>
      </c>
      <c r="Q52" s="78">
        <v>2567.27</v>
      </c>
      <c r="R52" s="78">
        <v>114484.77</v>
      </c>
      <c r="S52" s="81"/>
      <c r="T52" s="83"/>
    </row>
    <row r="53" spans="1:20" s="82" customFormat="1" ht="56.25" x14ac:dyDescent="0.25">
      <c r="A53" s="74">
        <v>63</v>
      </c>
      <c r="B53" s="75"/>
      <c r="C53" s="76" t="s">
        <v>79</v>
      </c>
      <c r="D53" s="77" t="s">
        <v>22</v>
      </c>
      <c r="E53" s="78">
        <v>4239682.7699999996</v>
      </c>
      <c r="F53" s="79"/>
      <c r="G53" s="77">
        <v>240</v>
      </c>
      <c r="H53" s="77">
        <v>5</v>
      </c>
      <c r="I53" s="78">
        <v>4239682.7699999996</v>
      </c>
      <c r="J53" s="77">
        <v>120</v>
      </c>
      <c r="K53" s="77" t="s">
        <v>13</v>
      </c>
      <c r="L53" s="77"/>
      <c r="M53" s="77" t="s">
        <v>137</v>
      </c>
      <c r="N53" s="78">
        <v>14571.8</v>
      </c>
      <c r="O53" s="78">
        <v>243512.18</v>
      </c>
      <c r="P53" s="78">
        <v>3760594</v>
      </c>
      <c r="Q53" s="78">
        <v>221004.79</v>
      </c>
      <c r="R53" s="78">
        <v>4239682.7699999996</v>
      </c>
      <c r="S53" s="83"/>
    </row>
    <row r="54" spans="1:20" s="82" customFormat="1" ht="56.25" x14ac:dyDescent="0.25">
      <c r="A54" s="74">
        <v>64</v>
      </c>
      <c r="B54" s="75"/>
      <c r="C54" s="76" t="s">
        <v>29</v>
      </c>
      <c r="D54" s="77" t="s">
        <v>22</v>
      </c>
      <c r="E54" s="78">
        <v>4479320.7699999996</v>
      </c>
      <c r="F54" s="79"/>
      <c r="G54" s="77">
        <v>120</v>
      </c>
      <c r="H54" s="77">
        <v>5</v>
      </c>
      <c r="I54" s="78">
        <v>4479320.7699999996</v>
      </c>
      <c r="J54" s="77">
        <v>120</v>
      </c>
      <c r="K54" s="77" t="s">
        <v>13</v>
      </c>
      <c r="L54" s="77"/>
      <c r="M54" s="77" t="s">
        <v>137</v>
      </c>
      <c r="N54" s="78">
        <v>14571.8</v>
      </c>
      <c r="O54" s="78">
        <v>243512.18</v>
      </c>
      <c r="P54" s="78">
        <v>4000232</v>
      </c>
      <c r="Q54" s="78">
        <v>221004.79</v>
      </c>
      <c r="R54" s="78">
        <v>4479320.7699999996</v>
      </c>
      <c r="S54" s="83"/>
    </row>
    <row r="55" spans="1:20" s="82" customFormat="1" ht="56.25" x14ac:dyDescent="0.25">
      <c r="A55" s="74">
        <v>65</v>
      </c>
      <c r="B55" s="87"/>
      <c r="C55" s="76" t="s">
        <v>138</v>
      </c>
      <c r="D55" s="77" t="s">
        <v>22</v>
      </c>
      <c r="E55" s="78">
        <v>1321394.6499999999</v>
      </c>
      <c r="F55" s="79"/>
      <c r="G55" s="77">
        <v>120</v>
      </c>
      <c r="H55" s="77">
        <v>5</v>
      </c>
      <c r="I55" s="78">
        <v>1321394.6499999999</v>
      </c>
      <c r="J55" s="77">
        <v>120</v>
      </c>
      <c r="K55" s="77" t="s">
        <v>13</v>
      </c>
      <c r="L55" s="77"/>
      <c r="M55" s="77" t="s">
        <v>137</v>
      </c>
      <c r="N55" s="78"/>
      <c r="O55" s="78">
        <v>239736.68</v>
      </c>
      <c r="P55" s="78">
        <v>876364.5</v>
      </c>
      <c r="Q55" s="78">
        <v>205293.47</v>
      </c>
      <c r="R55" s="78">
        <v>1321394.6499999999</v>
      </c>
      <c r="S55" s="83"/>
    </row>
    <row r="56" spans="1:20" s="82" customFormat="1" ht="56.25" x14ac:dyDescent="0.25">
      <c r="A56" s="74">
        <v>66</v>
      </c>
      <c r="B56" s="87"/>
      <c r="C56" s="76" t="s">
        <v>44</v>
      </c>
      <c r="D56" s="77" t="s">
        <v>22</v>
      </c>
      <c r="E56" s="78">
        <v>1321394.6499999999</v>
      </c>
      <c r="F56" s="79"/>
      <c r="G56" s="77">
        <v>120</v>
      </c>
      <c r="H56" s="77">
        <v>5</v>
      </c>
      <c r="I56" s="78">
        <v>1321394.6499999999</v>
      </c>
      <c r="J56" s="77">
        <v>120</v>
      </c>
      <c r="K56" s="77" t="s">
        <v>13</v>
      </c>
      <c r="L56" s="77"/>
      <c r="M56" s="77" t="s">
        <v>137</v>
      </c>
      <c r="N56" s="78"/>
      <c r="O56" s="78">
        <v>239736.68</v>
      </c>
      <c r="P56" s="78">
        <v>876364.5</v>
      </c>
      <c r="Q56" s="78">
        <v>205293.47</v>
      </c>
      <c r="R56" s="78">
        <v>1321394.6499999999</v>
      </c>
      <c r="S56" s="83"/>
    </row>
    <row r="57" spans="1:20" s="82" customFormat="1" ht="56.25" x14ac:dyDescent="0.25">
      <c r="A57" s="74">
        <v>67</v>
      </c>
      <c r="B57" s="87"/>
      <c r="C57" s="76" t="s">
        <v>30</v>
      </c>
      <c r="D57" s="77" t="s">
        <v>22</v>
      </c>
      <c r="E57" s="84">
        <v>2916005.01</v>
      </c>
      <c r="F57" s="79"/>
      <c r="G57" s="77">
        <v>120</v>
      </c>
      <c r="H57" s="77">
        <v>5</v>
      </c>
      <c r="I57" s="84">
        <v>2916005.01</v>
      </c>
      <c r="J57" s="86">
        <v>120</v>
      </c>
      <c r="K57" s="77" t="s">
        <v>13</v>
      </c>
      <c r="L57" s="77"/>
      <c r="M57" s="77" t="s">
        <v>137</v>
      </c>
      <c r="N57" s="78"/>
      <c r="O57" s="78">
        <v>366102.68</v>
      </c>
      <c r="P57" s="78">
        <v>2236398</v>
      </c>
      <c r="Q57" s="78">
        <v>313504.33</v>
      </c>
      <c r="R57" s="78">
        <v>2916005.01</v>
      </c>
      <c r="S57" s="83"/>
    </row>
    <row r="58" spans="1:20" s="82" customFormat="1" ht="56.25" x14ac:dyDescent="0.25">
      <c r="A58" s="74">
        <v>68</v>
      </c>
      <c r="B58" s="75"/>
      <c r="C58" s="76" t="s">
        <v>31</v>
      </c>
      <c r="D58" s="77" t="s">
        <v>22</v>
      </c>
      <c r="E58" s="78">
        <v>1035213.64</v>
      </c>
      <c r="F58" s="79"/>
      <c r="G58" s="77">
        <v>240</v>
      </c>
      <c r="H58" s="77">
        <v>5</v>
      </c>
      <c r="I58" s="78">
        <v>1035213.64</v>
      </c>
      <c r="J58" s="77">
        <v>120</v>
      </c>
      <c r="K58" s="77" t="s">
        <v>13</v>
      </c>
      <c r="L58" s="77"/>
      <c r="M58" s="77" t="s">
        <v>137</v>
      </c>
      <c r="N58" s="78"/>
      <c r="O58" s="78">
        <v>6239</v>
      </c>
      <c r="P58" s="78">
        <v>1023632</v>
      </c>
      <c r="Q58" s="78">
        <v>5342.64</v>
      </c>
      <c r="R58" s="78">
        <v>1035213.64</v>
      </c>
      <c r="S58" s="83"/>
    </row>
    <row r="59" spans="1:20" s="82" customFormat="1" ht="56.25" x14ac:dyDescent="0.25">
      <c r="A59" s="74">
        <v>73</v>
      </c>
      <c r="B59" s="75"/>
      <c r="C59" s="76" t="s">
        <v>45</v>
      </c>
      <c r="D59" s="77" t="s">
        <v>22</v>
      </c>
      <c r="E59" s="78">
        <v>570014.44999999995</v>
      </c>
      <c r="F59" s="79"/>
      <c r="G59" s="77">
        <v>240</v>
      </c>
      <c r="H59" s="77">
        <v>5</v>
      </c>
      <c r="I59" s="78">
        <v>570014.44999999995</v>
      </c>
      <c r="J59" s="77">
        <v>120</v>
      </c>
      <c r="K59" s="77" t="s">
        <v>13</v>
      </c>
      <c r="L59" s="77"/>
      <c r="M59" s="77" t="s">
        <v>137</v>
      </c>
      <c r="N59" s="78"/>
      <c r="O59" s="78">
        <v>3698.4</v>
      </c>
      <c r="P59" s="78">
        <v>563149</v>
      </c>
      <c r="Q59" s="78">
        <v>3167.05</v>
      </c>
      <c r="R59" s="78">
        <v>570014.44999999995</v>
      </c>
      <c r="S59" s="83"/>
    </row>
    <row r="60" spans="1:20" s="82" customFormat="1" ht="56.25" x14ac:dyDescent="0.25">
      <c r="A60" s="74">
        <v>76</v>
      </c>
      <c r="B60" s="75"/>
      <c r="C60" s="76" t="s">
        <v>78</v>
      </c>
      <c r="D60" s="77" t="s">
        <v>22</v>
      </c>
      <c r="E60" s="78">
        <v>2058845.64</v>
      </c>
      <c r="F60" s="79"/>
      <c r="G60" s="77">
        <v>240</v>
      </c>
      <c r="H60" s="77">
        <v>5</v>
      </c>
      <c r="I60" s="78">
        <v>2058845.64</v>
      </c>
      <c r="J60" s="77">
        <v>120</v>
      </c>
      <c r="K60" s="77" t="s">
        <v>13</v>
      </c>
      <c r="L60" s="77"/>
      <c r="M60" s="77" t="s">
        <v>137</v>
      </c>
      <c r="N60" s="78"/>
      <c r="O60" s="78">
        <v>6239</v>
      </c>
      <c r="P60" s="78">
        <v>2047264</v>
      </c>
      <c r="Q60" s="78">
        <v>5342.64</v>
      </c>
      <c r="R60" s="78">
        <v>2058845.64</v>
      </c>
      <c r="S60" s="83"/>
    </row>
    <row r="61" spans="1:20" s="82" customFormat="1" ht="56.25" x14ac:dyDescent="0.25">
      <c r="A61" s="74">
        <v>77</v>
      </c>
      <c r="B61" s="75"/>
      <c r="C61" s="76" t="s">
        <v>77</v>
      </c>
      <c r="D61" s="77" t="s">
        <v>22</v>
      </c>
      <c r="E61" s="78">
        <v>2058845.64</v>
      </c>
      <c r="F61" s="79"/>
      <c r="G61" s="77">
        <v>240</v>
      </c>
      <c r="H61" s="77">
        <v>5</v>
      </c>
      <c r="I61" s="78">
        <v>2058845.64</v>
      </c>
      <c r="J61" s="77">
        <v>120</v>
      </c>
      <c r="K61" s="77" t="s">
        <v>13</v>
      </c>
      <c r="L61" s="77"/>
      <c r="M61" s="77" t="s">
        <v>137</v>
      </c>
      <c r="N61" s="78"/>
      <c r="O61" s="78">
        <v>6239</v>
      </c>
      <c r="P61" s="78">
        <v>2047264</v>
      </c>
      <c r="Q61" s="78">
        <v>5342.64</v>
      </c>
      <c r="R61" s="78">
        <v>2058845.64</v>
      </c>
      <c r="S61" s="83"/>
    </row>
    <row r="62" spans="1:20" s="82" customFormat="1" ht="56.25" x14ac:dyDescent="0.25">
      <c r="A62" s="74">
        <v>78</v>
      </c>
      <c r="B62" s="75"/>
      <c r="C62" s="76" t="s">
        <v>76</v>
      </c>
      <c r="D62" s="77" t="s">
        <v>22</v>
      </c>
      <c r="E62" s="78">
        <v>1712237.64</v>
      </c>
      <c r="F62" s="79"/>
      <c r="G62" s="77">
        <v>240</v>
      </c>
      <c r="H62" s="77">
        <v>5</v>
      </c>
      <c r="I62" s="78">
        <v>1712237.64</v>
      </c>
      <c r="J62" s="77">
        <v>120</v>
      </c>
      <c r="K62" s="77" t="s">
        <v>13</v>
      </c>
      <c r="L62" s="77"/>
      <c r="M62" s="77" t="s">
        <v>137</v>
      </c>
      <c r="N62" s="78"/>
      <c r="O62" s="78">
        <v>6239</v>
      </c>
      <c r="P62" s="78">
        <v>1700656</v>
      </c>
      <c r="Q62" s="78">
        <v>5342.64</v>
      </c>
      <c r="R62" s="78">
        <v>1712237.64</v>
      </c>
      <c r="S62" s="83"/>
    </row>
    <row r="63" spans="1:20" s="82" customFormat="1" ht="56.25" x14ac:dyDescent="0.25">
      <c r="A63" s="74">
        <v>79</v>
      </c>
      <c r="B63" s="75"/>
      <c r="C63" s="76" t="s">
        <v>75</v>
      </c>
      <c r="D63" s="77" t="s">
        <v>22</v>
      </c>
      <c r="E63" s="78">
        <v>718031.92</v>
      </c>
      <c r="F63" s="79"/>
      <c r="G63" s="77">
        <v>240</v>
      </c>
      <c r="H63" s="77">
        <v>5</v>
      </c>
      <c r="I63" s="78">
        <v>718031.92</v>
      </c>
      <c r="J63" s="77">
        <v>120</v>
      </c>
      <c r="K63" s="77" t="s">
        <v>13</v>
      </c>
      <c r="L63" s="77"/>
      <c r="M63" s="77" t="s">
        <v>137</v>
      </c>
      <c r="N63" s="78">
        <v>12944.52</v>
      </c>
      <c r="O63" s="78">
        <v>6239</v>
      </c>
      <c r="P63" s="78">
        <v>682421</v>
      </c>
      <c r="Q63" s="78">
        <v>16427.400000000001</v>
      </c>
      <c r="R63" s="78">
        <v>718031.92</v>
      </c>
      <c r="S63" s="83"/>
    </row>
    <row r="64" spans="1:20" s="82" customFormat="1" ht="56.25" x14ac:dyDescent="0.25">
      <c r="A64" s="74">
        <v>80</v>
      </c>
      <c r="B64" s="75"/>
      <c r="C64" s="76" t="s">
        <v>81</v>
      </c>
      <c r="D64" s="77" t="s">
        <v>22</v>
      </c>
      <c r="E64" s="78">
        <v>3726287</v>
      </c>
      <c r="F64" s="79"/>
      <c r="G64" s="77">
        <v>84</v>
      </c>
      <c r="H64" s="77">
        <v>4</v>
      </c>
      <c r="I64" s="78">
        <v>3726287</v>
      </c>
      <c r="J64" s="77">
        <v>4</v>
      </c>
      <c r="K64" s="77" t="s">
        <v>13</v>
      </c>
      <c r="L64" s="77"/>
      <c r="M64" s="77" t="s">
        <v>137</v>
      </c>
      <c r="N64" s="78"/>
      <c r="O64" s="78"/>
      <c r="P64" s="78">
        <v>3726287</v>
      </c>
      <c r="Q64" s="78">
        <v>0</v>
      </c>
      <c r="R64" s="78">
        <v>3726287</v>
      </c>
      <c r="S64" s="83"/>
    </row>
    <row r="65" spans="1:20" s="82" customFormat="1" ht="56.25" x14ac:dyDescent="0.25">
      <c r="A65" s="74">
        <v>81</v>
      </c>
      <c r="B65" s="75"/>
      <c r="C65" s="76" t="s">
        <v>32</v>
      </c>
      <c r="D65" s="77" t="s">
        <v>22</v>
      </c>
      <c r="E65" s="78">
        <v>56919068.240000002</v>
      </c>
      <c r="F65" s="79"/>
      <c r="G65" s="77">
        <v>300</v>
      </c>
      <c r="H65" s="77">
        <v>7</v>
      </c>
      <c r="I65" s="78">
        <v>56919068.240000002</v>
      </c>
      <c r="J65" s="77">
        <v>240</v>
      </c>
      <c r="K65" s="77" t="s">
        <v>13</v>
      </c>
      <c r="L65" s="77"/>
      <c r="M65" s="77" t="s">
        <v>137</v>
      </c>
      <c r="N65" s="78">
        <f>136706*0</f>
        <v>0</v>
      </c>
      <c r="O65" s="78">
        <f>1405196.69*0</f>
        <v>0</v>
      </c>
      <c r="P65" s="78">
        <f>54056789.6*0</f>
        <v>0</v>
      </c>
      <c r="Q65" s="78">
        <f>1320375.95*0</f>
        <v>0</v>
      </c>
      <c r="R65" s="78">
        <f>56919068.24*0</f>
        <v>0</v>
      </c>
      <c r="S65" s="81"/>
      <c r="T65" s="83"/>
    </row>
    <row r="66" spans="1:20" s="82" customFormat="1" ht="56.25" x14ac:dyDescent="0.25">
      <c r="A66" s="74">
        <v>82</v>
      </c>
      <c r="B66" s="87"/>
      <c r="C66" s="76" t="s">
        <v>33</v>
      </c>
      <c r="D66" s="77" t="s">
        <v>22</v>
      </c>
      <c r="E66" s="78">
        <v>5730383.3499999996</v>
      </c>
      <c r="F66" s="79"/>
      <c r="G66" s="77">
        <v>180</v>
      </c>
      <c r="H66" s="77">
        <v>4</v>
      </c>
      <c r="I66" s="78">
        <v>5730383.3499999996</v>
      </c>
      <c r="J66" s="77">
        <v>84</v>
      </c>
      <c r="K66" s="77" t="s">
        <v>13</v>
      </c>
      <c r="L66" s="77"/>
      <c r="M66" s="77" t="s">
        <v>137</v>
      </c>
      <c r="N66" s="78">
        <f>6559.8</f>
        <v>6559.8</v>
      </c>
      <c r="O66" s="78">
        <f>423861.4</f>
        <v>423861.4</v>
      </c>
      <c r="P66" s="78">
        <f>4931380</f>
        <v>4931380</v>
      </c>
      <c r="Q66" s="78">
        <f>368582.15</f>
        <v>368582.15</v>
      </c>
      <c r="R66" s="78">
        <f>5730383.35</f>
        <v>5730383.3499999996</v>
      </c>
      <c r="S66" s="83"/>
    </row>
    <row r="67" spans="1:20" s="82" customFormat="1" ht="56.25" x14ac:dyDescent="0.25">
      <c r="A67" s="74">
        <v>83</v>
      </c>
      <c r="B67" s="87"/>
      <c r="C67" s="76" t="s">
        <v>34</v>
      </c>
      <c r="D67" s="77" t="s">
        <v>22</v>
      </c>
      <c r="E67" s="78">
        <v>5473713.3499999996</v>
      </c>
      <c r="F67" s="79"/>
      <c r="G67" s="77">
        <v>180</v>
      </c>
      <c r="H67" s="77">
        <v>4</v>
      </c>
      <c r="I67" s="78">
        <v>5473713.3499999996</v>
      </c>
      <c r="J67" s="77">
        <v>84</v>
      </c>
      <c r="K67" s="77" t="s">
        <v>13</v>
      </c>
      <c r="L67" s="77"/>
      <c r="M67" s="77" t="s">
        <v>137</v>
      </c>
      <c r="N67" s="78">
        <v>6559.8</v>
      </c>
      <c r="O67" s="78">
        <v>423861.4</v>
      </c>
      <c r="P67" s="78">
        <v>4674710</v>
      </c>
      <c r="Q67" s="78">
        <v>368582.15</v>
      </c>
      <c r="R67" s="78">
        <v>5473713.3499999996</v>
      </c>
      <c r="S67" s="83"/>
    </row>
    <row r="68" spans="1:20" s="82" customFormat="1" ht="56.25" x14ac:dyDescent="0.25">
      <c r="A68" s="74">
        <v>84</v>
      </c>
      <c r="B68" s="87"/>
      <c r="C68" s="76" t="s">
        <v>35</v>
      </c>
      <c r="D68" s="77" t="s">
        <v>22</v>
      </c>
      <c r="E68" s="78">
        <v>8954551.3499999996</v>
      </c>
      <c r="F68" s="79"/>
      <c r="G68" s="77">
        <v>180</v>
      </c>
      <c r="H68" s="77">
        <v>4</v>
      </c>
      <c r="I68" s="78">
        <v>8954551.3499999996</v>
      </c>
      <c r="J68" s="77">
        <v>84</v>
      </c>
      <c r="K68" s="77" t="s">
        <v>13</v>
      </c>
      <c r="L68" s="77"/>
      <c r="M68" s="77" t="s">
        <v>137</v>
      </c>
      <c r="N68" s="78">
        <v>6559.8</v>
      </c>
      <c r="O68" s="78">
        <v>423861.4</v>
      </c>
      <c r="P68" s="78">
        <v>8155548</v>
      </c>
      <c r="Q68" s="78">
        <v>368582.15</v>
      </c>
      <c r="R68" s="78">
        <v>8954551.3499999996</v>
      </c>
      <c r="S68" s="83"/>
    </row>
    <row r="69" spans="1:20" s="82" customFormat="1" ht="56.25" x14ac:dyDescent="0.25">
      <c r="A69" s="74">
        <v>85</v>
      </c>
      <c r="B69" s="87"/>
      <c r="C69" s="76" t="s">
        <v>36</v>
      </c>
      <c r="D69" s="77" t="s">
        <v>22</v>
      </c>
      <c r="E69" s="78">
        <v>4795079.03</v>
      </c>
      <c r="F69" s="79"/>
      <c r="G69" s="77">
        <v>180</v>
      </c>
      <c r="H69" s="77">
        <v>4</v>
      </c>
      <c r="I69" s="78">
        <v>4795079.03</v>
      </c>
      <c r="J69" s="77">
        <v>84</v>
      </c>
      <c r="K69" s="77" t="s">
        <v>13</v>
      </c>
      <c r="L69" s="77"/>
      <c r="M69" s="77" t="s">
        <v>137</v>
      </c>
      <c r="N69" s="78">
        <v>6559.8</v>
      </c>
      <c r="O69" s="78">
        <v>422318.4</v>
      </c>
      <c r="P69" s="78">
        <v>3998940</v>
      </c>
      <c r="Q69" s="78">
        <v>367260.83</v>
      </c>
      <c r="R69" s="78">
        <v>4795079.03</v>
      </c>
      <c r="S69" s="83"/>
    </row>
    <row r="70" spans="1:20" s="82" customFormat="1" ht="56.25" x14ac:dyDescent="0.25">
      <c r="A70" s="74">
        <v>86</v>
      </c>
      <c r="B70" s="87"/>
      <c r="C70" s="76" t="s">
        <v>80</v>
      </c>
      <c r="D70" s="77" t="s">
        <v>22</v>
      </c>
      <c r="E70" s="78">
        <v>4543407.41</v>
      </c>
      <c r="F70" s="79"/>
      <c r="G70" s="77">
        <v>180</v>
      </c>
      <c r="H70" s="77">
        <v>4</v>
      </c>
      <c r="I70" s="78">
        <v>4543407.41</v>
      </c>
      <c r="J70" s="77">
        <v>84</v>
      </c>
      <c r="K70" s="77" t="s">
        <v>13</v>
      </c>
      <c r="L70" s="77"/>
      <c r="M70" s="77" t="s">
        <v>137</v>
      </c>
      <c r="N70" s="78">
        <v>6559.8</v>
      </c>
      <c r="O70" s="78">
        <v>425357.4</v>
      </c>
      <c r="P70" s="78">
        <v>3741627</v>
      </c>
      <c r="Q70" s="78">
        <v>369863.21</v>
      </c>
      <c r="R70" s="78">
        <v>4543407.41</v>
      </c>
      <c r="S70" s="83"/>
    </row>
    <row r="71" spans="1:20" s="82" customFormat="1" ht="56.25" x14ac:dyDescent="0.25">
      <c r="A71" s="74">
        <v>87</v>
      </c>
      <c r="B71" s="77"/>
      <c r="C71" s="76" t="s">
        <v>134</v>
      </c>
      <c r="D71" s="77" t="s">
        <v>22</v>
      </c>
      <c r="E71" s="78">
        <v>791679.72</v>
      </c>
      <c r="F71" s="79"/>
      <c r="G71" s="77">
        <v>36</v>
      </c>
      <c r="H71" s="77">
        <v>2</v>
      </c>
      <c r="I71" s="78">
        <v>791679.72</v>
      </c>
      <c r="J71" s="77">
        <v>36</v>
      </c>
      <c r="K71" s="77" t="s">
        <v>13</v>
      </c>
      <c r="L71" s="77"/>
      <c r="M71" s="77" t="s">
        <v>137</v>
      </c>
      <c r="N71" s="78"/>
      <c r="O71" s="78">
        <v>266.5</v>
      </c>
      <c r="P71" s="78">
        <v>791185.01</v>
      </c>
      <c r="Q71" s="78">
        <v>228.21</v>
      </c>
      <c r="R71" s="78">
        <v>791679.72</v>
      </c>
      <c r="S71" s="81"/>
      <c r="T71" s="83"/>
    </row>
    <row r="72" spans="1:20" s="82" customFormat="1" ht="56.25" x14ac:dyDescent="0.25">
      <c r="A72" s="74">
        <v>90</v>
      </c>
      <c r="B72" s="87" t="s">
        <v>38</v>
      </c>
      <c r="C72" s="76" t="s">
        <v>37</v>
      </c>
      <c r="D72" s="77" t="s">
        <v>22</v>
      </c>
      <c r="E72" s="78">
        <v>21119.439999999999</v>
      </c>
      <c r="F72" s="79"/>
      <c r="G72" s="77"/>
      <c r="H72" s="77"/>
      <c r="I72" s="78">
        <v>21119.439999999999</v>
      </c>
      <c r="J72" s="77"/>
      <c r="K72" s="77" t="s">
        <v>13</v>
      </c>
      <c r="L72" s="77"/>
      <c r="M72" s="77" t="s">
        <v>137</v>
      </c>
      <c r="N72" s="78"/>
      <c r="O72" s="78">
        <v>6915.5</v>
      </c>
      <c r="P72" s="78">
        <v>8282</v>
      </c>
      <c r="Q72" s="78">
        <v>5921.94</v>
      </c>
      <c r="R72" s="78">
        <v>21119.439999999999</v>
      </c>
      <c r="S72" s="83"/>
    </row>
    <row r="73" spans="1:20" s="82" customFormat="1" ht="56.25" x14ac:dyDescent="0.25">
      <c r="A73" s="74">
        <v>91</v>
      </c>
      <c r="B73" s="87"/>
      <c r="C73" s="76" t="s">
        <v>39</v>
      </c>
      <c r="D73" s="77" t="s">
        <v>22</v>
      </c>
      <c r="E73" s="78">
        <v>14507845.33</v>
      </c>
      <c r="F73" s="79"/>
      <c r="G73" s="77">
        <v>180</v>
      </c>
      <c r="H73" s="77">
        <v>4</v>
      </c>
      <c r="I73" s="78">
        <v>14507845.33</v>
      </c>
      <c r="J73" s="77">
        <v>84</v>
      </c>
      <c r="K73" s="77" t="s">
        <v>13</v>
      </c>
      <c r="L73" s="77"/>
      <c r="M73" s="77" t="s">
        <v>137</v>
      </c>
      <c r="N73" s="78">
        <f>244845.54</f>
        <v>244845.54</v>
      </c>
      <c r="O73" s="78">
        <f>945518</f>
        <v>945518</v>
      </c>
      <c r="P73" s="78">
        <f>12298139</f>
        <v>12298139</v>
      </c>
      <c r="Q73" s="78">
        <f>1019342.79</f>
        <v>1019342.79</v>
      </c>
      <c r="R73" s="78">
        <f>14507845.33</f>
        <v>14507845.33</v>
      </c>
      <c r="S73" s="83"/>
    </row>
    <row r="74" spans="1:20" s="82" customFormat="1" ht="56.25" x14ac:dyDescent="0.25">
      <c r="A74" s="74">
        <v>92</v>
      </c>
      <c r="B74" s="87"/>
      <c r="C74" s="76" t="s">
        <v>46</v>
      </c>
      <c r="D74" s="77" t="s">
        <v>22</v>
      </c>
      <c r="E74" s="78">
        <v>4573656.0999999996</v>
      </c>
      <c r="F74" s="79"/>
      <c r="G74" s="87" t="s">
        <v>25</v>
      </c>
      <c r="H74" s="77">
        <v>4</v>
      </c>
      <c r="I74" s="78">
        <v>4573656.0999999996</v>
      </c>
      <c r="J74" s="87" t="s">
        <v>24</v>
      </c>
      <c r="K74" s="77" t="s">
        <v>13</v>
      </c>
      <c r="L74" s="77"/>
      <c r="M74" s="77" t="s">
        <v>137</v>
      </c>
      <c r="N74" s="78">
        <v>4559</v>
      </c>
      <c r="O74" s="78">
        <v>361993</v>
      </c>
      <c r="P74" s="78">
        <v>3893215</v>
      </c>
      <c r="Q74" s="78">
        <v>313889.09999999998</v>
      </c>
      <c r="R74" s="78">
        <v>4573656.0999999996</v>
      </c>
      <c r="S74" s="83"/>
    </row>
    <row r="75" spans="1:20" s="82" customFormat="1" ht="56.25" x14ac:dyDescent="0.25">
      <c r="A75" s="74">
        <v>93</v>
      </c>
      <c r="B75" s="74"/>
      <c r="C75" s="76" t="s">
        <v>40</v>
      </c>
      <c r="D75" s="77" t="s">
        <v>22</v>
      </c>
      <c r="E75" s="78">
        <v>1321708.57</v>
      </c>
      <c r="F75" s="79"/>
      <c r="G75" s="77">
        <v>180</v>
      </c>
      <c r="H75" s="77">
        <v>4</v>
      </c>
      <c r="I75" s="78">
        <v>1321708.57</v>
      </c>
      <c r="J75" s="77">
        <v>84</v>
      </c>
      <c r="K75" s="77" t="s">
        <v>13</v>
      </c>
      <c r="L75" s="77"/>
      <c r="M75" s="77" t="s">
        <v>137</v>
      </c>
      <c r="N75" s="78">
        <v>2472.5</v>
      </c>
      <c r="O75" s="78">
        <v>135104.5</v>
      </c>
      <c r="P75" s="78">
        <v>1066320.3999999999</v>
      </c>
      <c r="Q75" s="78">
        <v>117811.17</v>
      </c>
      <c r="R75" s="78">
        <v>1321708.57</v>
      </c>
      <c r="S75" s="83"/>
    </row>
    <row r="76" spans="1:20" s="82" customFormat="1" ht="56.25" x14ac:dyDescent="0.25">
      <c r="A76" s="74">
        <v>94</v>
      </c>
      <c r="B76" s="74"/>
      <c r="C76" s="76" t="s">
        <v>41</v>
      </c>
      <c r="D76" s="77" t="s">
        <v>22</v>
      </c>
      <c r="E76" s="78">
        <v>895738.67</v>
      </c>
      <c r="F76" s="79"/>
      <c r="G76" s="77">
        <v>180</v>
      </c>
      <c r="H76" s="77">
        <v>4</v>
      </c>
      <c r="I76" s="78">
        <v>895738.67</v>
      </c>
      <c r="J76" s="77">
        <v>84</v>
      </c>
      <c r="K76" s="77" t="s">
        <v>13</v>
      </c>
      <c r="L76" s="77"/>
      <c r="M76" s="77" t="s">
        <v>137</v>
      </c>
      <c r="N76" s="78">
        <v>2472.5</v>
      </c>
      <c r="O76" s="78">
        <v>135104.5</v>
      </c>
      <c r="P76" s="78">
        <v>640350.5</v>
      </c>
      <c r="Q76" s="78">
        <v>117811.17</v>
      </c>
      <c r="R76" s="78">
        <v>895738.67</v>
      </c>
      <c r="S76" s="83"/>
    </row>
    <row r="77" spans="1:20" s="82" customFormat="1" ht="56.25" x14ac:dyDescent="0.25">
      <c r="A77" s="74">
        <v>95</v>
      </c>
      <c r="B77" s="77"/>
      <c r="C77" s="76" t="s">
        <v>135</v>
      </c>
      <c r="D77" s="77" t="s">
        <v>22</v>
      </c>
      <c r="E77" s="78">
        <v>868891.8</v>
      </c>
      <c r="F77" s="79"/>
      <c r="G77" s="77">
        <v>180</v>
      </c>
      <c r="H77" s="77">
        <v>6</v>
      </c>
      <c r="I77" s="78">
        <v>868891.8</v>
      </c>
      <c r="J77" s="77">
        <v>180</v>
      </c>
      <c r="K77" s="77" t="s">
        <v>13</v>
      </c>
      <c r="L77" s="77"/>
      <c r="M77" s="77" t="s">
        <v>137</v>
      </c>
      <c r="N77" s="78">
        <v>63289</v>
      </c>
      <c r="O77" s="78">
        <v>271157</v>
      </c>
      <c r="P77" s="78">
        <v>248050</v>
      </c>
      <c r="Q77" s="78">
        <v>286395.8</v>
      </c>
      <c r="R77" s="78">
        <v>868891.8</v>
      </c>
      <c r="S77" s="81"/>
      <c r="T77" s="83"/>
    </row>
    <row r="78" spans="1:20" s="82" customFormat="1" ht="56.25" x14ac:dyDescent="0.25">
      <c r="A78" s="74">
        <v>96</v>
      </c>
      <c r="B78" s="77"/>
      <c r="C78" s="76" t="s">
        <v>136</v>
      </c>
      <c r="D78" s="77" t="s">
        <v>22</v>
      </c>
      <c r="E78" s="78">
        <v>551191.18999999994</v>
      </c>
      <c r="F78" s="79"/>
      <c r="G78" s="77">
        <v>180</v>
      </c>
      <c r="H78" s="77">
        <v>6</v>
      </c>
      <c r="I78" s="78">
        <v>551191.18999999994</v>
      </c>
      <c r="J78" s="77">
        <v>180</v>
      </c>
      <c r="K78" s="77" t="s">
        <v>13</v>
      </c>
      <c r="L78" s="77"/>
      <c r="M78" s="77" t="s">
        <v>137</v>
      </c>
      <c r="N78" s="78">
        <v>25572</v>
      </c>
      <c r="O78" s="78">
        <v>224324</v>
      </c>
      <c r="P78" s="78">
        <v>87302</v>
      </c>
      <c r="Q78" s="78">
        <v>213993.19</v>
      </c>
      <c r="R78" s="78">
        <v>551191.18999999994</v>
      </c>
      <c r="S78" s="81"/>
      <c r="T78" s="83"/>
    </row>
    <row r="79" spans="1:20" x14ac:dyDescent="0.3">
      <c r="A79" s="73"/>
      <c r="B79" s="88"/>
      <c r="C79" s="88"/>
      <c r="D79" s="72"/>
      <c r="E79" s="89">
        <f>SUM(E9:E78)</f>
        <v>290350648.32999998</v>
      </c>
      <c r="F79" s="72"/>
      <c r="G79" s="72"/>
      <c r="H79" s="72"/>
      <c r="I79" s="89">
        <f>SUM(I9:I78)</f>
        <v>290350648.32999998</v>
      </c>
      <c r="J79" s="72"/>
      <c r="K79" s="72"/>
      <c r="L79" s="72"/>
      <c r="M79" s="72"/>
      <c r="N79" s="89">
        <f>SUM(N9:N78)</f>
        <v>22813462.59</v>
      </c>
      <c r="O79" s="89">
        <f>SUM(O9:O78)</f>
        <v>12696279.880000001</v>
      </c>
      <c r="P79" s="89">
        <f>SUM(P9:P78)</f>
        <v>167513816.18000001</v>
      </c>
      <c r="Q79" s="89">
        <f>SUM(Q9:Q78)</f>
        <v>30408021.440000001</v>
      </c>
      <c r="R79" s="89">
        <f>N79+O79+P79+Q79</f>
        <v>233431580.09</v>
      </c>
    </row>
    <row r="80" spans="1:20" ht="25.5" customHeight="1" x14ac:dyDescent="0.3">
      <c r="E80" s="90"/>
      <c r="I80" s="90"/>
      <c r="M80" s="65">
        <v>104.9354</v>
      </c>
      <c r="N80" s="90">
        <v>104.94</v>
      </c>
      <c r="O80" s="90">
        <v>104.94</v>
      </c>
      <c r="P80" s="90">
        <v>104.94</v>
      </c>
      <c r="Q80" s="90">
        <v>104.94</v>
      </c>
      <c r="R80" s="90"/>
    </row>
    <row r="81" spans="5:18" x14ac:dyDescent="0.3">
      <c r="E81" s="90"/>
      <c r="I81" s="90"/>
      <c r="M81" s="65">
        <v>113.87439215858601</v>
      </c>
      <c r="N81" s="90">
        <v>113.87</v>
      </c>
      <c r="O81" s="90">
        <v>113.87</v>
      </c>
      <c r="P81" s="90">
        <v>113.87</v>
      </c>
      <c r="Q81" s="90">
        <v>113.87</v>
      </c>
      <c r="R81" s="90"/>
    </row>
    <row r="82" spans="5:18" x14ac:dyDescent="0.3">
      <c r="E82" s="90"/>
      <c r="I82" s="90"/>
      <c r="M82" s="65">
        <v>105.89170681013999</v>
      </c>
      <c r="N82" s="90">
        <v>105.89</v>
      </c>
      <c r="O82" s="90">
        <v>105.89</v>
      </c>
      <c r="P82" s="90">
        <v>105.89</v>
      </c>
      <c r="Q82" s="90">
        <v>105.89</v>
      </c>
      <c r="R82" s="90"/>
    </row>
    <row r="83" spans="5:18" x14ac:dyDescent="0.3">
      <c r="E83" s="90"/>
      <c r="I83" s="90"/>
      <c r="M83" s="65">
        <v>105.30227480021099</v>
      </c>
      <c r="N83" s="90">
        <v>105.3</v>
      </c>
      <c r="O83" s="90">
        <v>105.3</v>
      </c>
      <c r="P83" s="90">
        <v>105.3</v>
      </c>
      <c r="Q83" s="90">
        <v>105.3</v>
      </c>
      <c r="R83" s="90"/>
    </row>
    <row r="84" spans="5:18" x14ac:dyDescent="0.3">
      <c r="E84" s="90"/>
      <c r="I84" s="90"/>
      <c r="M84" s="65">
        <v>104.794259089128</v>
      </c>
      <c r="N84" s="90">
        <v>104.79</v>
      </c>
      <c r="O84" s="90">
        <v>104.79</v>
      </c>
      <c r="P84" s="90">
        <v>104.79</v>
      </c>
      <c r="Q84" s="90">
        <v>104.79</v>
      </c>
      <c r="R84" s="90"/>
    </row>
    <row r="85" spans="5:18" x14ac:dyDescent="0.3">
      <c r="E85" s="90"/>
      <c r="I85" s="90"/>
      <c r="M85" s="65">
        <v>104.794259089128</v>
      </c>
      <c r="N85" s="90">
        <v>104.79</v>
      </c>
      <c r="O85" s="90">
        <v>104.79</v>
      </c>
      <c r="P85" s="90">
        <v>104.79</v>
      </c>
      <c r="Q85" s="90">
        <v>104.79</v>
      </c>
      <c r="R85" s="90"/>
    </row>
    <row r="86" spans="5:18" x14ac:dyDescent="0.3">
      <c r="E86" s="90"/>
      <c r="I86" s="90"/>
      <c r="M86" s="65">
        <v>104.794259089128</v>
      </c>
      <c r="N86" s="90">
        <v>104.79</v>
      </c>
      <c r="O86" s="90">
        <v>104.79</v>
      </c>
      <c r="P86" s="90">
        <v>104.79</v>
      </c>
      <c r="Q86" s="90">
        <v>104.79</v>
      </c>
      <c r="R86" s="90"/>
    </row>
    <row r="87" spans="5:18" x14ac:dyDescent="0.3">
      <c r="E87" s="90"/>
      <c r="I87" s="90"/>
      <c r="M87" s="65">
        <v>104.794259089128</v>
      </c>
      <c r="N87" s="90">
        <v>104.79</v>
      </c>
      <c r="O87" s="90">
        <v>104.79</v>
      </c>
      <c r="P87" s="90">
        <v>104.79</v>
      </c>
      <c r="Q87" s="90">
        <v>104.79</v>
      </c>
      <c r="R87" s="90"/>
    </row>
    <row r="88" spans="5:18" ht="72" customHeight="1" x14ac:dyDescent="0.3">
      <c r="E88" s="90"/>
      <c r="I88" s="90"/>
      <c r="M88" s="65">
        <v>104.794259089128</v>
      </c>
      <c r="N88" s="90">
        <v>104.79</v>
      </c>
      <c r="O88" s="90">
        <v>104.79</v>
      </c>
      <c r="P88" s="90">
        <v>104.79</v>
      </c>
      <c r="Q88" s="90">
        <v>104.79</v>
      </c>
      <c r="R88" s="90"/>
    </row>
    <row r="89" spans="5:18" ht="61.5" customHeight="1" x14ac:dyDescent="0.3">
      <c r="E89" s="90"/>
      <c r="I89" s="90"/>
      <c r="M89" s="72" t="s">
        <v>84</v>
      </c>
      <c r="N89" s="89">
        <f>N79*N80/100*N81/100*N82/100*N83/100*N84/100</f>
        <v>31852589.68</v>
      </c>
      <c r="O89" s="89">
        <f t="shared" ref="O89:Q89" si="0">O79*O80/100*O81/100*O82/100*O83/100*O84/100</f>
        <v>17726787.059999999</v>
      </c>
      <c r="P89" s="89">
        <f t="shared" si="0"/>
        <v>233885971.13</v>
      </c>
      <c r="Q89" s="89">
        <f t="shared" si="0"/>
        <v>42456256.960000001</v>
      </c>
      <c r="R89" s="89">
        <f>N89+O89+P89+Q89</f>
        <v>325921604.82999998</v>
      </c>
    </row>
    <row r="90" spans="5:18" x14ac:dyDescent="0.3">
      <c r="E90" s="90"/>
      <c r="I90" s="90"/>
      <c r="N90" s="90"/>
      <c r="O90" s="90"/>
      <c r="P90" s="90"/>
      <c r="Q90" s="90"/>
      <c r="R90" s="90"/>
    </row>
    <row r="91" spans="5:18" x14ac:dyDescent="0.3">
      <c r="E91" s="90"/>
      <c r="I91" s="90"/>
      <c r="N91" s="90"/>
      <c r="O91" s="90"/>
      <c r="P91" s="90"/>
      <c r="Q91" s="90"/>
      <c r="R91" s="90"/>
    </row>
    <row r="92" spans="5:18" x14ac:dyDescent="0.3">
      <c r="E92" s="90"/>
      <c r="I92" s="90"/>
      <c r="N92" s="90"/>
      <c r="O92" s="90"/>
      <c r="P92" s="90"/>
      <c r="Q92" s="90"/>
      <c r="R92" s="90"/>
    </row>
    <row r="93" spans="5:18" x14ac:dyDescent="0.3">
      <c r="E93" s="90"/>
      <c r="I93" s="90"/>
      <c r="N93" s="90"/>
      <c r="O93" s="90"/>
      <c r="P93" s="90"/>
      <c r="Q93" s="90"/>
      <c r="R93" s="90"/>
    </row>
    <row r="94" spans="5:18" x14ac:dyDescent="0.3">
      <c r="E94" s="90"/>
      <c r="I94" s="90"/>
      <c r="N94" s="90"/>
      <c r="O94" s="90"/>
      <c r="P94" s="90"/>
      <c r="Q94" s="90"/>
      <c r="R94" s="90"/>
    </row>
    <row r="95" spans="5:18" x14ac:dyDescent="0.3">
      <c r="E95" s="90"/>
      <c r="I95" s="90"/>
      <c r="N95" s="90"/>
      <c r="O95" s="90"/>
      <c r="P95" s="90"/>
      <c r="Q95" s="90"/>
      <c r="R95" s="90"/>
    </row>
    <row r="96" spans="5:18" x14ac:dyDescent="0.3">
      <c r="E96" s="90"/>
      <c r="I96" s="90"/>
      <c r="N96" s="90"/>
      <c r="O96" s="90"/>
      <c r="P96" s="90"/>
      <c r="Q96" s="90"/>
      <c r="R96" s="90"/>
    </row>
    <row r="97" spans="3:19" x14ac:dyDescent="0.3">
      <c r="E97" s="90"/>
      <c r="I97" s="90"/>
      <c r="N97" s="90"/>
      <c r="O97" s="90"/>
      <c r="P97" s="90"/>
      <c r="Q97" s="90"/>
      <c r="R97" s="90"/>
    </row>
    <row r="98" spans="3:19" x14ac:dyDescent="0.3">
      <c r="E98" s="90"/>
      <c r="I98" s="90"/>
      <c r="N98" s="90"/>
      <c r="O98" s="90"/>
      <c r="P98" s="90"/>
      <c r="Q98" s="90"/>
      <c r="R98" s="90"/>
    </row>
    <row r="99" spans="3:19" x14ac:dyDescent="0.3">
      <c r="E99" s="90"/>
      <c r="I99" s="90"/>
      <c r="N99" s="90"/>
      <c r="O99" s="90"/>
      <c r="P99" s="90"/>
      <c r="Q99" s="90"/>
      <c r="R99" s="90"/>
    </row>
    <row r="100" spans="3:19" x14ac:dyDescent="0.3">
      <c r="E100" s="90"/>
      <c r="I100" s="90"/>
      <c r="N100" s="90"/>
      <c r="O100" s="90"/>
      <c r="P100" s="90"/>
      <c r="Q100" s="90"/>
      <c r="R100" s="90"/>
    </row>
    <row r="101" spans="3:19" ht="104.25" customHeight="1" x14ac:dyDescent="0.3">
      <c r="C101" s="91"/>
      <c r="E101" s="92"/>
      <c r="I101" s="92"/>
      <c r="M101" s="90"/>
      <c r="N101" s="90"/>
      <c r="O101" s="90"/>
      <c r="P101" s="90"/>
      <c r="Q101" s="90"/>
      <c r="R101" s="90"/>
    </row>
    <row r="102" spans="3:19" ht="43.5" customHeight="1" x14ac:dyDescent="0.3">
      <c r="C102" s="93"/>
      <c r="M102" s="90"/>
      <c r="N102" s="94"/>
      <c r="O102" s="94"/>
      <c r="P102" s="94"/>
      <c r="Q102" s="94"/>
      <c r="R102" s="94"/>
      <c r="S102" s="95"/>
    </row>
    <row r="103" spans="3:19" ht="56.25" customHeight="1" x14ac:dyDescent="0.3">
      <c r="C103" s="93"/>
      <c r="M103" s="96"/>
      <c r="N103" s="94"/>
      <c r="O103" s="94"/>
      <c r="P103" s="94"/>
      <c r="Q103" s="94"/>
      <c r="R103" s="94"/>
    </row>
    <row r="104" spans="3:19" x14ac:dyDescent="0.3">
      <c r="N104" s="64"/>
      <c r="O104" s="64"/>
      <c r="P104" s="64"/>
      <c r="Q104" s="64"/>
      <c r="R104" s="64"/>
    </row>
    <row r="106" spans="3:19" ht="52.5" customHeight="1" x14ac:dyDescent="0.3">
      <c r="N106" s="94"/>
      <c r="O106" s="94"/>
      <c r="P106" s="94"/>
      <c r="Q106" s="94"/>
      <c r="R106" s="94"/>
    </row>
    <row r="107" spans="3:19" ht="60" customHeight="1" x14ac:dyDescent="0.3">
      <c r="N107" s="97"/>
      <c r="O107" s="97"/>
      <c r="P107" s="97"/>
      <c r="Q107" s="97"/>
      <c r="R107" s="97"/>
    </row>
    <row r="108" spans="3:19" ht="61.5" customHeight="1" x14ac:dyDescent="0.3">
      <c r="N108" s="97"/>
      <c r="O108" s="97"/>
      <c r="P108" s="97"/>
      <c r="Q108" s="97"/>
      <c r="R108" s="97"/>
    </row>
    <row r="109" spans="3:19" ht="63.75" customHeight="1" x14ac:dyDescent="0.3">
      <c r="N109" s="97"/>
      <c r="O109" s="97"/>
      <c r="P109" s="97"/>
      <c r="Q109" s="97"/>
      <c r="R109" s="97"/>
    </row>
    <row r="110" spans="3:19" ht="60.75" customHeight="1" x14ac:dyDescent="0.3">
      <c r="N110" s="97"/>
      <c r="O110" s="97"/>
      <c r="P110" s="97"/>
      <c r="Q110" s="97"/>
      <c r="R110" s="98"/>
    </row>
    <row r="111" spans="3:19" ht="62.25" customHeight="1" x14ac:dyDescent="0.3">
      <c r="N111" s="97"/>
      <c r="O111" s="97"/>
      <c r="P111" s="97"/>
      <c r="Q111" s="97"/>
    </row>
    <row r="112" spans="3:19" ht="63" customHeight="1" x14ac:dyDescent="0.3">
      <c r="N112" s="94"/>
      <c r="O112" s="94"/>
      <c r="P112" s="94"/>
    </row>
    <row r="113" spans="14:17" ht="58.5" customHeight="1" x14ac:dyDescent="0.3">
      <c r="N113" s="94"/>
      <c r="O113" s="94"/>
      <c r="P113" s="94"/>
      <c r="Q113" s="94"/>
    </row>
    <row r="114" spans="14:17" ht="69" customHeight="1" x14ac:dyDescent="0.3">
      <c r="N114" s="94"/>
      <c r="O114" s="94"/>
      <c r="P114" s="94"/>
      <c r="Q114" s="94"/>
    </row>
    <row r="115" spans="14:17" ht="58.5" customHeight="1" x14ac:dyDescent="0.3">
      <c r="N115" s="94"/>
      <c r="O115" s="94"/>
      <c r="P115" s="94"/>
      <c r="Q115" s="94"/>
    </row>
    <row r="116" spans="14:17" ht="67.5" customHeight="1" x14ac:dyDescent="0.3">
      <c r="N116" s="94"/>
      <c r="O116" s="94"/>
      <c r="P116" s="94"/>
      <c r="Q116" s="94"/>
    </row>
  </sheetData>
  <autoFilter ref="A8:Z89" xr:uid="{00000000-0009-0000-0000-000000000000}"/>
  <mergeCells count="31">
    <mergeCell ref="L6:L7"/>
    <mergeCell ref="N104:R104"/>
    <mergeCell ref="N6:R6"/>
    <mergeCell ref="N102:R102"/>
    <mergeCell ref="I6:I7"/>
    <mergeCell ref="K6:K7"/>
    <mergeCell ref="H6:H7"/>
    <mergeCell ref="M2:O2"/>
    <mergeCell ref="D6:D7"/>
    <mergeCell ref="J6:J7"/>
    <mergeCell ref="A5:L5"/>
    <mergeCell ref="A6:A7"/>
    <mergeCell ref="B6:B7"/>
    <mergeCell ref="C6:C7"/>
    <mergeCell ref="B2:I2"/>
    <mergeCell ref="G6:G7"/>
    <mergeCell ref="N115:Q115"/>
    <mergeCell ref="N116:Q116"/>
    <mergeCell ref="E6:E7"/>
    <mergeCell ref="N112:P112"/>
    <mergeCell ref="N113:Q113"/>
    <mergeCell ref="M6:M7"/>
    <mergeCell ref="F6:F7"/>
    <mergeCell ref="N111:Q111"/>
    <mergeCell ref="N103:R103"/>
    <mergeCell ref="N114:Q114"/>
    <mergeCell ref="N106:R106"/>
    <mergeCell ref="N107:R107"/>
    <mergeCell ref="N110:Q110"/>
    <mergeCell ref="N108:R108"/>
    <mergeCell ref="N109:R109"/>
  </mergeCells>
  <pageMargins left="0.39370078740157483" right="0" top="0.15748031496062992" bottom="0" header="0.23622047244094491" footer="0.19685039370078741"/>
  <pageSetup paperSize="9" scale="37" fitToHeight="0" pageOrder="overThenDown" orientation="landscape" r:id="rId1"/>
  <rowBreaks count="2" manualBreakCount="2">
    <brk id="64" max="37" man="1"/>
    <brk id="103" max="16383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 прогнозных ценах</vt:lpstr>
      <vt:lpstr>Университетская</vt:lpstr>
      <vt:lpstr>Университетская!Область_печати</vt:lpstr>
    </vt:vector>
  </TitlesOfParts>
  <Company>GES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Павел Дубровин</dc:creator>
  <cp:lastModifiedBy>sergenhappy@mail.ru</cp:lastModifiedBy>
  <cp:lastPrinted>2021-01-19T16:05:20Z</cp:lastPrinted>
  <dcterms:created xsi:type="dcterms:W3CDTF">2015-03-27T07:26:23Z</dcterms:created>
  <dcterms:modified xsi:type="dcterms:W3CDTF">2024-04-20T18:32:08Z</dcterms:modified>
</cp:coreProperties>
</file>