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E5F79B3D-4FBE-479E-939D-E0765312F2E3}" xr6:coauthVersionLast="47" xr6:coauthVersionMax="47" xr10:uidLastSave="{00000000-0000-0000-0000-000000000000}"/>
  <bookViews>
    <workbookView xWindow="-120" yWindow="-120" windowWidth="29040" windowHeight="15840" tabRatio="859"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31"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externalReferences>
    <externalReference r:id="rId14"/>
    <externalReference r:id="rId15"/>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ПС'!$A$2:$T$45</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E25" i="29" l="1"/>
  <c r="E26" i="29"/>
  <c r="E28" i="29"/>
  <c r="E29" i="29"/>
  <c r="E31" i="29"/>
  <c r="E32" i="29"/>
  <c r="E33" i="29"/>
  <c r="E34" i="29"/>
  <c r="E35" i="29"/>
  <c r="E36" i="29"/>
  <c r="E37" i="29"/>
  <c r="E38" i="29"/>
  <c r="E39" i="29"/>
  <c r="E40" i="29"/>
  <c r="E41" i="29"/>
  <c r="E42" i="29"/>
  <c r="E43" i="29"/>
  <c r="E44" i="29"/>
  <c r="E46" i="29"/>
  <c r="E47" i="29"/>
  <c r="E48" i="29"/>
  <c r="E49" i="29"/>
  <c r="E51" i="29"/>
  <c r="E53" i="29"/>
  <c r="E55" i="29"/>
  <c r="E56" i="29"/>
  <c r="E58" i="29"/>
  <c r="E59" i="29"/>
  <c r="E60" i="29"/>
  <c r="E61" i="29"/>
  <c r="E62" i="29"/>
  <c r="E63" i="29"/>
  <c r="E64" i="29"/>
  <c r="C52" i="29"/>
  <c r="E52" i="29" s="1"/>
  <c r="C30" i="29"/>
  <c r="C51" i="7" s="1"/>
  <c r="C27" i="29" l="1"/>
  <c r="B24" i="31"/>
  <c r="E30" i="29"/>
  <c r="B27" i="26"/>
  <c r="B25" i="26"/>
  <c r="L35" i="29"/>
  <c r="L36" i="29"/>
  <c r="L37" i="29"/>
  <c r="L38" i="29"/>
  <c r="L39" i="29"/>
  <c r="L40" i="29"/>
  <c r="L41" i="29"/>
  <c r="L42" i="29"/>
  <c r="L43" i="29"/>
  <c r="L44" i="29"/>
  <c r="L46" i="29"/>
  <c r="L47" i="29"/>
  <c r="L48" i="29"/>
  <c r="L49" i="29"/>
  <c r="L53" i="29"/>
  <c r="L55" i="29"/>
  <c r="L56" i="29"/>
  <c r="L52" i="29"/>
  <c r="C50" i="29"/>
  <c r="C45" i="29"/>
  <c r="L28" i="29"/>
  <c r="AB28" i="29" s="1"/>
  <c r="H33" i="29"/>
  <c r="L33" i="29" s="1"/>
  <c r="G64" i="29"/>
  <c r="G63" i="29" s="1"/>
  <c r="G62" i="29" s="1"/>
  <c r="G61" i="29" s="1"/>
  <c r="G60" i="29" s="1"/>
  <c r="G59" i="29" s="1"/>
  <c r="G58" i="29" s="1"/>
  <c r="G57" i="29" s="1"/>
  <c r="G56" i="29" s="1"/>
  <c r="G55" i="29" s="1"/>
  <c r="G54" i="29" s="1"/>
  <c r="G53" i="29" s="1"/>
  <c r="G52" i="29" s="1"/>
  <c r="G51" i="29" s="1"/>
  <c r="G50" i="29" s="1"/>
  <c r="G49" i="29" s="1"/>
  <c r="G48" i="29" s="1"/>
  <c r="G47" i="29" s="1"/>
  <c r="G46" i="29" s="1"/>
  <c r="G45" i="29" s="1"/>
  <c r="G44" i="29" s="1"/>
  <c r="G43" i="29" s="1"/>
  <c r="G42" i="29" s="1"/>
  <c r="G41" i="29" s="1"/>
  <c r="G40" i="29" s="1"/>
  <c r="G39" i="29" s="1"/>
  <c r="G38" i="29" s="1"/>
  <c r="G37" i="29" s="1"/>
  <c r="G36" i="29" s="1"/>
  <c r="G35" i="29" s="1"/>
  <c r="G34" i="29" s="1"/>
  <c r="G33" i="29" s="1"/>
  <c r="G32" i="29" s="1"/>
  <c r="G31" i="29" s="1"/>
  <c r="G30" i="29" s="1"/>
  <c r="G29" i="29" s="1"/>
  <c r="G28" i="29" s="1"/>
  <c r="G27" i="29" s="1"/>
  <c r="G26" i="29" s="1"/>
  <c r="G25" i="29" s="1"/>
  <c r="L45" i="29" l="1"/>
  <c r="E45" i="29"/>
  <c r="B24" i="26"/>
  <c r="L50" i="29"/>
  <c r="E50" i="29"/>
  <c r="E27" i="29"/>
  <c r="C24" i="29"/>
  <c r="C57" i="29"/>
  <c r="C54" i="29"/>
  <c r="L32" i="29"/>
  <c r="B32" i="26"/>
  <c r="L57" i="29" l="1"/>
  <c r="E57" i="29"/>
  <c r="C50" i="7"/>
  <c r="E24" i="29"/>
  <c r="L54" i="29"/>
  <c r="E54" i="29"/>
  <c r="A5" i="31"/>
  <c r="A15" i="31" l="1"/>
  <c r="A12" i="31"/>
  <c r="A9" i="31"/>
  <c r="D92" i="31"/>
  <c r="E92" i="31" s="1"/>
  <c r="F92" i="31" s="1"/>
  <c r="G92" i="31" s="1"/>
  <c r="H92" i="31" s="1"/>
  <c r="I92" i="31" s="1"/>
  <c r="J92" i="31" s="1"/>
  <c r="K92" i="31" s="1"/>
  <c r="L92" i="31" s="1"/>
  <c r="M92" i="31" s="1"/>
  <c r="N92" i="31" s="1"/>
  <c r="O92" i="31" s="1"/>
  <c r="P92" i="31" s="1"/>
  <c r="Q92" i="31" s="1"/>
  <c r="R92" i="31" s="1"/>
  <c r="S92" i="31" s="1"/>
  <c r="T92" i="31" s="1"/>
  <c r="U92" i="31" s="1"/>
  <c r="V92" i="31" s="1"/>
  <c r="W92" i="31" s="1"/>
  <c r="X92" i="31" s="1"/>
  <c r="Y92" i="31" s="1"/>
  <c r="Z92" i="31" s="1"/>
  <c r="AA92" i="31" s="1"/>
  <c r="AB92" i="31" s="1"/>
  <c r="AC92" i="31" s="1"/>
  <c r="AD92" i="31" s="1"/>
  <c r="AE92" i="31" s="1"/>
  <c r="C92" i="31"/>
  <c r="C91" i="31"/>
  <c r="D91" i="31" s="1"/>
  <c r="E91" i="31" s="1"/>
  <c r="F91" i="31" s="1"/>
  <c r="G91" i="31" s="1"/>
  <c r="H91" i="31" s="1"/>
  <c r="I91" i="31" s="1"/>
  <c r="J91" i="31" s="1"/>
  <c r="K91" i="31" s="1"/>
  <c r="L91" i="31" s="1"/>
  <c r="M91" i="31" s="1"/>
  <c r="N91" i="31" s="1"/>
  <c r="O91" i="31" s="1"/>
  <c r="P91" i="31" s="1"/>
  <c r="Q91" i="31" s="1"/>
  <c r="R91" i="31" s="1"/>
  <c r="S91" i="31" s="1"/>
  <c r="T91" i="31" s="1"/>
  <c r="U91" i="31" s="1"/>
  <c r="V91" i="31" s="1"/>
  <c r="W91" i="31" s="1"/>
  <c r="X91" i="31" s="1"/>
  <c r="Y91" i="31" s="1"/>
  <c r="Z91" i="31" s="1"/>
  <c r="AA91" i="31" s="1"/>
  <c r="AB91" i="31" s="1"/>
  <c r="AC91" i="31" s="1"/>
  <c r="AD91" i="31" s="1"/>
  <c r="AE91" i="31" s="1"/>
  <c r="AE85" i="31"/>
  <c r="AD85" i="31"/>
  <c r="AC85" i="31"/>
  <c r="AB85" i="31"/>
  <c r="AA85" i="31"/>
  <c r="Z85" i="31"/>
  <c r="Y85" i="31"/>
  <c r="X85" i="31"/>
  <c r="W85" i="31"/>
  <c r="V85" i="31"/>
  <c r="U85" i="31"/>
  <c r="T85" i="31"/>
  <c r="S85" i="31"/>
  <c r="R85" i="31"/>
  <c r="Q85" i="31"/>
  <c r="P85" i="31"/>
  <c r="O85" i="31"/>
  <c r="N85" i="31"/>
  <c r="M85" i="31"/>
  <c r="L85" i="31"/>
  <c r="K85" i="31"/>
  <c r="J85" i="31"/>
  <c r="I85" i="31"/>
  <c r="H85" i="31"/>
  <c r="G85" i="31"/>
  <c r="F85" i="31"/>
  <c r="E85" i="31"/>
  <c r="D85" i="31"/>
  <c r="C85" i="31"/>
  <c r="B85" i="31"/>
  <c r="AE77" i="31"/>
  <c r="AD77" i="31"/>
  <c r="AC77" i="31"/>
  <c r="AB77" i="31"/>
  <c r="AA77" i="31"/>
  <c r="Z77" i="31"/>
  <c r="Y77" i="31"/>
  <c r="X77" i="31"/>
  <c r="W77" i="31"/>
  <c r="V77" i="31"/>
  <c r="U77" i="31"/>
  <c r="T77" i="31"/>
  <c r="S77" i="31"/>
  <c r="R77" i="31"/>
  <c r="Q77" i="31"/>
  <c r="P77" i="31"/>
  <c r="O77" i="31"/>
  <c r="N77" i="31"/>
  <c r="M77" i="31"/>
  <c r="L77" i="31"/>
  <c r="K77" i="31"/>
  <c r="J77" i="31"/>
  <c r="I77" i="31"/>
  <c r="H77" i="31"/>
  <c r="G77" i="31"/>
  <c r="F77" i="31"/>
  <c r="E77" i="31"/>
  <c r="D77" i="31"/>
  <c r="C77" i="31"/>
  <c r="B77" i="31"/>
  <c r="C76" i="31"/>
  <c r="B76" i="31"/>
  <c r="C59" i="31"/>
  <c r="B59" i="31"/>
  <c r="AE58" i="31"/>
  <c r="AE80" i="31" s="1"/>
  <c r="AD58" i="31"/>
  <c r="AC58" i="31"/>
  <c r="AC80" i="31" s="1"/>
  <c r="AB58" i="31"/>
  <c r="AB80" i="31" s="1"/>
  <c r="AA58" i="31"/>
  <c r="AA80" i="31" s="1"/>
  <c r="Z58" i="31"/>
  <c r="Y58" i="31"/>
  <c r="Y80" i="31" s="1"/>
  <c r="X58" i="31"/>
  <c r="X80" i="31" s="1"/>
  <c r="W58" i="31"/>
  <c r="W80" i="31" s="1"/>
  <c r="V58" i="31"/>
  <c r="U58" i="31"/>
  <c r="U80" i="31" s="1"/>
  <c r="T58" i="31"/>
  <c r="T80" i="31" s="1"/>
  <c r="S58" i="31"/>
  <c r="S80" i="31" s="1"/>
  <c r="R58" i="31"/>
  <c r="Q58" i="31"/>
  <c r="Q80" i="31" s="1"/>
  <c r="P58" i="31"/>
  <c r="P80" i="31" s="1"/>
  <c r="O58" i="31"/>
  <c r="O80" i="31" s="1"/>
  <c r="N58" i="31"/>
  <c r="M58" i="31"/>
  <c r="M80" i="31" s="1"/>
  <c r="L58" i="31"/>
  <c r="L80" i="31" s="1"/>
  <c r="K58" i="31"/>
  <c r="K80" i="31" s="1"/>
  <c r="J58" i="31"/>
  <c r="I58" i="31"/>
  <c r="I80" i="31" s="1"/>
  <c r="H58" i="31"/>
  <c r="H80" i="31" s="1"/>
  <c r="G58" i="31"/>
  <c r="G80" i="31" s="1"/>
  <c r="F58" i="31"/>
  <c r="E58" i="31"/>
  <c r="E80" i="31" s="1"/>
  <c r="D58" i="31"/>
  <c r="D80" i="31" s="1"/>
  <c r="C58" i="31"/>
  <c r="C80" i="31" s="1"/>
  <c r="B48" i="31"/>
  <c r="C48" i="31" s="1"/>
  <c r="D48" i="31" s="1"/>
  <c r="E48" i="31" s="1"/>
  <c r="F48" i="31" s="1"/>
  <c r="G48" i="31" s="1"/>
  <c r="H48" i="31" s="1"/>
  <c r="I48" i="31" s="1"/>
  <c r="J48" i="31" s="1"/>
  <c r="K48" i="31" s="1"/>
  <c r="L48" i="31" s="1"/>
  <c r="M48" i="31" s="1"/>
  <c r="N48" i="31" s="1"/>
  <c r="O48" i="31" s="1"/>
  <c r="P48" i="31" s="1"/>
  <c r="Q48" i="31" s="1"/>
  <c r="R48" i="31" s="1"/>
  <c r="S48" i="31" s="1"/>
  <c r="T48" i="31" s="1"/>
  <c r="U48" i="31" s="1"/>
  <c r="V48" i="31" s="1"/>
  <c r="W48" i="31" s="1"/>
  <c r="X48" i="31" s="1"/>
  <c r="Y48" i="31" s="1"/>
  <c r="Z48" i="31" s="1"/>
  <c r="AA48" i="31" s="1"/>
  <c r="AB48" i="31" s="1"/>
  <c r="AC48" i="31" s="1"/>
  <c r="AD48" i="31" s="1"/>
  <c r="AE48" i="31" s="1"/>
  <c r="B45" i="31"/>
  <c r="B58" i="31" l="1"/>
  <c r="B80" i="31" s="1"/>
  <c r="D67" i="31"/>
  <c r="B72" i="26"/>
  <c r="B34" i="26"/>
  <c r="B34" i="31"/>
  <c r="K61" i="31" s="1"/>
  <c r="B28" i="31"/>
  <c r="F80" i="31"/>
  <c r="N80" i="31"/>
  <c r="R80" i="31"/>
  <c r="AD80" i="31"/>
  <c r="J80" i="31"/>
  <c r="V80" i="31"/>
  <c r="Z80" i="31"/>
  <c r="C66" i="31"/>
  <c r="C68" i="31" s="1"/>
  <c r="I60" i="31" l="1"/>
  <c r="O60" i="31" s="1"/>
  <c r="U60" i="31" s="1"/>
  <c r="D65" i="31"/>
  <c r="D59" i="31" s="1"/>
  <c r="D66" i="31" s="1"/>
  <c r="B66" i="31"/>
  <c r="B68" i="31" s="1"/>
  <c r="B75" i="31" s="1"/>
  <c r="S61" i="31"/>
  <c r="AA61" i="31" s="1"/>
  <c r="C75" i="31"/>
  <c r="C70" i="31"/>
  <c r="B70" i="31"/>
  <c r="B71" i="31" l="1"/>
  <c r="B72" i="31" s="1"/>
  <c r="C71" i="31"/>
  <c r="C72" i="31" s="1"/>
  <c r="B78" i="31" l="1"/>
  <c r="C78" i="31" s="1"/>
  <c r="AB32" i="29" l="1"/>
  <c r="H31" i="29"/>
  <c r="L31" i="29" l="1"/>
  <c r="AB31" i="29" s="1"/>
  <c r="AB33" i="29"/>
  <c r="X59" i="29" l="1"/>
  <c r="X60" i="29"/>
  <c r="X62" i="29"/>
  <c r="X63" i="29"/>
  <c r="X27" i="29"/>
  <c r="T27" i="29"/>
  <c r="P27" i="29"/>
  <c r="X30" i="29"/>
  <c r="T30" i="29"/>
  <c r="P30" i="29"/>
  <c r="H26" i="29" l="1"/>
  <c r="H25" i="29"/>
  <c r="I24" i="29"/>
  <c r="L25" i="29" l="1"/>
  <c r="AB25" i="29" s="1"/>
  <c r="L26" i="29"/>
  <c r="AB26" i="29" s="1"/>
  <c r="G24" i="29"/>
  <c r="D26" i="5" l="1"/>
  <c r="B133" i="26" l="1"/>
  <c r="L30" i="15" l="1"/>
  <c r="D76" i="31" l="1"/>
  <c r="D68" i="31"/>
  <c r="E67" i="31"/>
  <c r="H64" i="29"/>
  <c r="AB64" i="29" s="1"/>
  <c r="H63" i="29"/>
  <c r="AB63" i="29" s="1"/>
  <c r="H62" i="29"/>
  <c r="AB62" i="29" s="1"/>
  <c r="H61" i="29"/>
  <c r="AB61" i="29" s="1"/>
  <c r="H60" i="29"/>
  <c r="AB60" i="29" s="1"/>
  <c r="H59" i="29"/>
  <c r="AB59" i="29" s="1"/>
  <c r="H58" i="29"/>
  <c r="AB58" i="29" s="1"/>
  <c r="H57" i="29"/>
  <c r="AB57" i="29" s="1"/>
  <c r="H56" i="29"/>
  <c r="H55" i="29"/>
  <c r="H54" i="29"/>
  <c r="AB54" i="29" s="1"/>
  <c r="H53" i="29"/>
  <c r="H52" i="29"/>
  <c r="AB52" i="29" s="1"/>
  <c r="L51" i="29"/>
  <c r="H51" i="29"/>
  <c r="H50" i="29"/>
  <c r="AB50" i="29" s="1"/>
  <c r="H49" i="29"/>
  <c r="H48" i="29"/>
  <c r="H47" i="29"/>
  <c r="H46" i="29"/>
  <c r="H45" i="29"/>
  <c r="AB45" i="29" s="1"/>
  <c r="H44" i="29"/>
  <c r="H43" i="29"/>
  <c r="H42" i="29"/>
  <c r="AB42" i="29" s="1"/>
  <c r="H41" i="29"/>
  <c r="H40" i="29"/>
  <c r="H39" i="29"/>
  <c r="H38" i="29"/>
  <c r="H37" i="29"/>
  <c r="AB37" i="29" s="1"/>
  <c r="H36" i="29"/>
  <c r="H35" i="29"/>
  <c r="H34" i="29"/>
  <c r="H29" i="29"/>
  <c r="Y24" i="29"/>
  <c r="U24" i="29"/>
  <c r="Q24" i="29"/>
  <c r="M24" i="29"/>
  <c r="L29" i="29" l="1"/>
  <c r="AB29" i="29" s="1"/>
  <c r="L34" i="29"/>
  <c r="AB34" i="29" s="1"/>
  <c r="H30" i="29"/>
  <c r="E65" i="31"/>
  <c r="E59" i="31" s="1"/>
  <c r="E66" i="31" s="1"/>
  <c r="E68" i="31" s="1"/>
  <c r="D75" i="31"/>
  <c r="D70" i="31"/>
  <c r="D71" i="31" s="1"/>
  <c r="F67" i="31"/>
  <c r="E76" i="31"/>
  <c r="X35" i="29"/>
  <c r="AB35" i="29" s="1"/>
  <c r="X44" i="29"/>
  <c r="AB44" i="29" s="1"/>
  <c r="X46" i="29"/>
  <c r="AB46" i="29" s="1"/>
  <c r="X38" i="29"/>
  <c r="AB38" i="29" s="1"/>
  <c r="X40" i="29"/>
  <c r="AB40" i="29" s="1"/>
  <c r="X51" i="29"/>
  <c r="AB51" i="29" s="1"/>
  <c r="X36" i="29"/>
  <c r="AB36" i="29" s="1"/>
  <c r="X43" i="29"/>
  <c r="AB43" i="29" s="1"/>
  <c r="X48" i="29"/>
  <c r="AB48" i="29" s="1"/>
  <c r="X56" i="29"/>
  <c r="AB56" i="29" s="1"/>
  <c r="X55" i="29"/>
  <c r="AB55" i="29" s="1"/>
  <c r="X49" i="29"/>
  <c r="AB49" i="29" s="1"/>
  <c r="X53" i="29"/>
  <c r="AB53" i="29" s="1"/>
  <c r="X39" i="29"/>
  <c r="AB39" i="29" s="1"/>
  <c r="X41" i="29"/>
  <c r="AB41" i="29" s="1"/>
  <c r="X47" i="29"/>
  <c r="AB47" i="29" s="1"/>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H27" i="29" l="1"/>
  <c r="L30" i="29"/>
  <c r="AB30" i="29" s="1"/>
  <c r="F65" i="31"/>
  <c r="F59" i="31" s="1"/>
  <c r="F66" i="31" s="1"/>
  <c r="F68" i="31" s="1"/>
  <c r="F76" i="31"/>
  <c r="G67" i="31"/>
  <c r="D72" i="31"/>
  <c r="D78" i="31"/>
  <c r="E75" i="31"/>
  <c r="E70" i="31"/>
  <c r="E71" i="31" s="1"/>
  <c r="E72" i="31" s="1"/>
  <c r="L27" i="29" l="1"/>
  <c r="AB27" i="29" s="1"/>
  <c r="H24" i="29"/>
  <c r="G65" i="31"/>
  <c r="G59" i="31" s="1"/>
  <c r="G66" i="31" s="1"/>
  <c r="G68" i="31" s="1"/>
  <c r="E78" i="31"/>
  <c r="F75" i="31"/>
  <c r="F70" i="31"/>
  <c r="H67" i="31"/>
  <c r="G76" i="31"/>
  <c r="P57" i="15"/>
  <c r="P56" i="15"/>
  <c r="P55" i="15"/>
  <c r="P50" i="15"/>
  <c r="P49" i="15"/>
  <c r="P48" i="15"/>
  <c r="P47" i="15"/>
  <c r="P46" i="15"/>
  <c r="P44" i="15"/>
  <c r="P42" i="15"/>
  <c r="P41" i="15"/>
  <c r="P40" i="15"/>
  <c r="P39" i="15"/>
  <c r="P38" i="15"/>
  <c r="L24" i="29" l="1"/>
  <c r="C81" i="31" s="1"/>
  <c r="B81" i="31"/>
  <c r="H65" i="31"/>
  <c r="H59" i="31" s="1"/>
  <c r="H66" i="31" s="1"/>
  <c r="H68" i="31" s="1"/>
  <c r="F71" i="31"/>
  <c r="F72" i="31" s="1"/>
  <c r="H76" i="31"/>
  <c r="I67" i="31"/>
  <c r="G75" i="31"/>
  <c r="G70" i="31"/>
  <c r="AB24" i="29" l="1"/>
  <c r="B79" i="31"/>
  <c r="C79" i="31" s="1"/>
  <c r="C83" i="31" s="1"/>
  <c r="C86" i="31" s="1"/>
  <c r="I65" i="31"/>
  <c r="I59" i="31" s="1"/>
  <c r="I66" i="31" s="1"/>
  <c r="I68" i="31" s="1"/>
  <c r="J67" i="31"/>
  <c r="I76" i="31"/>
  <c r="H75" i="31"/>
  <c r="H70" i="31"/>
  <c r="G71" i="31"/>
  <c r="F78" i="31"/>
  <c r="E53" i="15"/>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D79" i="31" l="1"/>
  <c r="B83" i="31"/>
  <c r="J65" i="31"/>
  <c r="J59" i="31" s="1"/>
  <c r="J66" i="31" s="1"/>
  <c r="J68" i="31" s="1"/>
  <c r="G78" i="31"/>
  <c r="G72" i="31"/>
  <c r="I75" i="31"/>
  <c r="I70" i="31"/>
  <c r="H71" i="31"/>
  <c r="J76" i="31"/>
  <c r="K67" i="31"/>
  <c r="E32" i="15"/>
  <c r="F32" i="15" s="1"/>
  <c r="E34" i="15"/>
  <c r="F34" i="15" s="1"/>
  <c r="E31" i="15"/>
  <c r="F31" i="15" s="1"/>
  <c r="L31" i="15" s="1"/>
  <c r="E33" i="15"/>
  <c r="F33" i="15" s="1"/>
  <c r="L26" i="15"/>
  <c r="AB26" i="15" s="1"/>
  <c r="N26" i="15"/>
  <c r="E45" i="15"/>
  <c r="F45" i="15" s="1"/>
  <c r="L27" i="15"/>
  <c r="AB27" i="15" s="1"/>
  <c r="N27" i="15"/>
  <c r="L25" i="15"/>
  <c r="N25" i="15"/>
  <c r="AB37" i="15"/>
  <c r="C54" i="15"/>
  <c r="P45" i="15"/>
  <c r="C30" i="15"/>
  <c r="P53" i="15"/>
  <c r="D83" i="31" l="1"/>
  <c r="D86" i="31" s="1"/>
  <c r="E79" i="31"/>
  <c r="B88" i="31"/>
  <c r="B86" i="31"/>
  <c r="B84" i="31"/>
  <c r="B89" i="31" s="1"/>
  <c r="C88" i="31"/>
  <c r="C84" i="31"/>
  <c r="K65" i="31"/>
  <c r="K59" i="31" s="1"/>
  <c r="K66" i="31" s="1"/>
  <c r="K68" i="31" s="1"/>
  <c r="L24" i="15"/>
  <c r="AB24" i="15" s="1"/>
  <c r="C48" i="7" s="1"/>
  <c r="I71" i="31"/>
  <c r="J70" i="31"/>
  <c r="J75" i="31"/>
  <c r="AB25" i="15"/>
  <c r="F30" i="15"/>
  <c r="L67" i="31"/>
  <c r="K76" i="31"/>
  <c r="H72" i="31"/>
  <c r="H78" i="31"/>
  <c r="E30" i="15"/>
  <c r="AC26" i="15"/>
  <c r="AB53" i="15"/>
  <c r="AB45" i="15"/>
  <c r="AC25" i="15"/>
  <c r="N24" i="15"/>
  <c r="AC27" i="15"/>
  <c r="E54" i="15"/>
  <c r="F54" i="15" s="1"/>
  <c r="P54" i="15" s="1"/>
  <c r="C52" i="15"/>
  <c r="C28" i="15"/>
  <c r="AB31" i="15"/>
  <c r="D88" i="31" l="1"/>
  <c r="D84" i="31"/>
  <c r="D89" i="31" s="1"/>
  <c r="E83" i="31"/>
  <c r="F79" i="31"/>
  <c r="B87" i="31"/>
  <c r="B90" i="31" s="1"/>
  <c r="C87" i="31"/>
  <c r="D87" i="31"/>
  <c r="C89" i="31"/>
  <c r="L65" i="31"/>
  <c r="L59" i="31" s="1"/>
  <c r="L66" i="31" s="1"/>
  <c r="L68" i="31" s="1"/>
  <c r="I78" i="31"/>
  <c r="I72" i="31"/>
  <c r="J71" i="31"/>
  <c r="K75" i="31"/>
  <c r="K70" i="31"/>
  <c r="L76" i="31"/>
  <c r="M67" i="31"/>
  <c r="AC24" i="15"/>
  <c r="AB54" i="15"/>
  <c r="E52" i="15"/>
  <c r="F52" i="15" s="1"/>
  <c r="P52" i="15" s="1"/>
  <c r="C24" i="15"/>
  <c r="E28" i="15"/>
  <c r="C90" i="31" l="1"/>
  <c r="E86" i="31"/>
  <c r="E88" i="31"/>
  <c r="E84" i="31"/>
  <c r="E89" i="31" s="1"/>
  <c r="F83" i="31"/>
  <c r="F86" i="31" s="1"/>
  <c r="G79" i="31"/>
  <c r="D90" i="31"/>
  <c r="M65" i="31"/>
  <c r="M59" i="31" s="1"/>
  <c r="M66" i="31" s="1"/>
  <c r="M68" i="31" s="1"/>
  <c r="J78" i="31"/>
  <c r="N67" i="31"/>
  <c r="M76" i="31"/>
  <c r="L75" i="31"/>
  <c r="L70" i="31"/>
  <c r="L71" i="31" s="1"/>
  <c r="K71" i="31"/>
  <c r="J72" i="31"/>
  <c r="AB52" i="15"/>
  <c r="F28" i="15"/>
  <c r="F24" i="15" s="1"/>
  <c r="E24" i="15"/>
  <c r="AC23" i="15"/>
  <c r="F84" i="31" l="1"/>
  <c r="F89" i="31" s="1"/>
  <c r="F88" i="31"/>
  <c r="H79" i="31"/>
  <c r="I79" i="31" s="1"/>
  <c r="I83" i="31" s="1"/>
  <c r="I86" i="31" s="1"/>
  <c r="G83" i="31"/>
  <c r="F87" i="31"/>
  <c r="E87" i="31"/>
  <c r="E90" i="31" s="1"/>
  <c r="N65" i="31"/>
  <c r="N59" i="31" s="1"/>
  <c r="N66" i="31" s="1"/>
  <c r="N68" i="31" s="1"/>
  <c r="K78" i="31"/>
  <c r="K72" i="31"/>
  <c r="M70" i="31"/>
  <c r="M71" i="31" s="1"/>
  <c r="M72" i="31" s="1"/>
  <c r="M75" i="31"/>
  <c r="L72" i="31"/>
  <c r="N76" i="31"/>
  <c r="O67" i="31"/>
  <c r="A12" i="26"/>
  <c r="F90" i="31" l="1"/>
  <c r="G88" i="31"/>
  <c r="G86" i="31"/>
  <c r="G84" i="31"/>
  <c r="G89" i="31" s="1"/>
  <c r="H83" i="31"/>
  <c r="J79" i="31"/>
  <c r="J83" i="31" s="1"/>
  <c r="J86" i="31" s="1"/>
  <c r="O65" i="31"/>
  <c r="O59" i="31"/>
  <c r="O66" i="31" s="1"/>
  <c r="O68" i="31" s="1"/>
  <c r="L78" i="31"/>
  <c r="N70" i="31"/>
  <c r="N75" i="31"/>
  <c r="O76" i="31"/>
  <c r="P67" i="31"/>
  <c r="B119" i="26"/>
  <c r="B117" i="26"/>
  <c r="B67" i="26"/>
  <c r="B63" i="26"/>
  <c r="B59" i="26"/>
  <c r="B55" i="26"/>
  <c r="A15" i="26"/>
  <c r="B21" i="26" s="1"/>
  <c r="A9" i="26"/>
  <c r="B121" i="26" s="1"/>
  <c r="A5" i="26"/>
  <c r="K79" i="31" l="1"/>
  <c r="L79" i="31" s="1"/>
  <c r="M79" i="31" s="1"/>
  <c r="N79" i="31" s="1"/>
  <c r="O79" i="31" s="1"/>
  <c r="P79" i="31" s="1"/>
  <c r="Q79" i="31" s="1"/>
  <c r="R79" i="31" s="1"/>
  <c r="S79" i="31" s="1"/>
  <c r="T79" i="31" s="1"/>
  <c r="U79" i="31" s="1"/>
  <c r="V79" i="31" s="1"/>
  <c r="W79" i="31" s="1"/>
  <c r="X79" i="31" s="1"/>
  <c r="Y79" i="31" s="1"/>
  <c r="Z79" i="31" s="1"/>
  <c r="AA79" i="31" s="1"/>
  <c r="AB79" i="31" s="1"/>
  <c r="AC79" i="31" s="1"/>
  <c r="AD79" i="31" s="1"/>
  <c r="AE79" i="31" s="1"/>
  <c r="G87" i="31"/>
  <c r="G90" i="31" s="1"/>
  <c r="H84" i="31"/>
  <c r="H89" i="31" s="1"/>
  <c r="H86" i="31"/>
  <c r="H87" i="31" s="1"/>
  <c r="H90" i="31" s="1"/>
  <c r="I84" i="31"/>
  <c r="J88" i="31"/>
  <c r="I88" i="31"/>
  <c r="J84" i="31"/>
  <c r="H88" i="31"/>
  <c r="M78" i="31"/>
  <c r="P65" i="31"/>
  <c r="P59" i="31" s="1"/>
  <c r="P66" i="31" s="1"/>
  <c r="P68" i="31" s="1"/>
  <c r="O75" i="31"/>
  <c r="O70" i="31"/>
  <c r="N71" i="31"/>
  <c r="P76" i="31"/>
  <c r="Q67" i="31"/>
  <c r="B118" i="26"/>
  <c r="B116" i="26"/>
  <c r="B108" i="26"/>
  <c r="B104" i="26"/>
  <c r="B100" i="26"/>
  <c r="B115" i="26"/>
  <c r="B53" i="26"/>
  <c r="B30" i="26" s="1"/>
  <c r="B50" i="26"/>
  <c r="B46" i="26"/>
  <c r="B42" i="26"/>
  <c r="B38" i="26"/>
  <c r="K83" i="31" l="1"/>
  <c r="K88" i="31" s="1"/>
  <c r="M83" i="31"/>
  <c r="J89" i="31"/>
  <c r="L83" i="31"/>
  <c r="L86" i="31" s="1"/>
  <c r="I87" i="31"/>
  <c r="I90" i="31" s="1"/>
  <c r="I89" i="31"/>
  <c r="J87" i="31"/>
  <c r="N78" i="31"/>
  <c r="N83" i="31" s="1"/>
  <c r="M86" i="31"/>
  <c r="Q65" i="31"/>
  <c r="Q59" i="31" s="1"/>
  <c r="Q66" i="31" s="1"/>
  <c r="Q68" i="31" s="1"/>
  <c r="N72" i="31"/>
  <c r="P75" i="31"/>
  <c r="P70" i="31"/>
  <c r="O71" i="31"/>
  <c r="R67" i="31"/>
  <c r="Q76" i="31"/>
  <c r="B111" i="26"/>
  <c r="A14" i="12"/>
  <c r="A11" i="12"/>
  <c r="A8" i="12"/>
  <c r="A4" i="12"/>
  <c r="A15" i="10"/>
  <c r="A12" i="10"/>
  <c r="A9" i="10"/>
  <c r="A5" i="10"/>
  <c r="A15" i="5"/>
  <c r="A12" i="5"/>
  <c r="A9" i="5"/>
  <c r="B26" i="5" s="1"/>
  <c r="O26" i="5" s="1"/>
  <c r="A5" i="5"/>
  <c r="A14" i="15"/>
  <c r="A11" i="15"/>
  <c r="A8" i="15"/>
  <c r="A4" i="15"/>
  <c r="A15" i="16"/>
  <c r="A14" i="29" s="1"/>
  <c r="A12" i="16"/>
  <c r="A11" i="29" s="1"/>
  <c r="A9" i="16"/>
  <c r="A8" i="29" s="1"/>
  <c r="A5" i="16"/>
  <c r="A4" i="29" s="1"/>
  <c r="A14" i="17"/>
  <c r="A11" i="17"/>
  <c r="A8" i="17"/>
  <c r="A4" i="17"/>
  <c r="A15" i="6"/>
  <c r="A12" i="6"/>
  <c r="A9" i="6"/>
  <c r="A5" i="6"/>
  <c r="E15" i="14"/>
  <c r="E12" i="14"/>
  <c r="E9" i="14"/>
  <c r="A5" i="14"/>
  <c r="A16" i="13"/>
  <c r="A13" i="13"/>
  <c r="A10" i="13"/>
  <c r="A6" i="13"/>
  <c r="K84" i="31" l="1"/>
  <c r="K89" i="31" s="1"/>
  <c r="K86" i="31"/>
  <c r="K87" i="31" s="1"/>
  <c r="L84" i="31"/>
  <c r="M87" i="31"/>
  <c r="G29" i="31" s="1"/>
  <c r="L88" i="31"/>
  <c r="K90" i="31"/>
  <c r="N88" i="31"/>
  <c r="L87" i="31"/>
  <c r="L90" i="31" s="1"/>
  <c r="M84" i="31"/>
  <c r="M88" i="31"/>
  <c r="J90" i="31"/>
  <c r="N86" i="31"/>
  <c r="N87" i="31" s="1"/>
  <c r="N90" i="31" s="1"/>
  <c r="N84" i="31"/>
  <c r="O78" i="31"/>
  <c r="O83" i="31" s="1"/>
  <c r="O84" i="31" s="1"/>
  <c r="R65" i="31"/>
  <c r="R59" i="31" s="1"/>
  <c r="R66" i="31" s="1"/>
  <c r="R68" i="31" s="1"/>
  <c r="O72" i="31"/>
  <c r="R76" i="31"/>
  <c r="S67" i="31"/>
  <c r="P71" i="31"/>
  <c r="Q70" i="31"/>
  <c r="Q75" i="3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L89" i="31" l="1"/>
  <c r="M89" i="31"/>
  <c r="M90" i="31"/>
  <c r="N89" i="31"/>
  <c r="P78" i="31"/>
  <c r="P83" i="31" s="1"/>
  <c r="P86" i="31" s="1"/>
  <c r="O86" i="31"/>
  <c r="O87" i="31" s="1"/>
  <c r="O90" i="31" s="1"/>
  <c r="O88" i="31"/>
  <c r="O89" i="31"/>
  <c r="S65" i="31"/>
  <c r="S59" i="31" s="1"/>
  <c r="S66" i="31" s="1"/>
  <c r="S68" i="31" s="1"/>
  <c r="R75" i="31"/>
  <c r="R70" i="31"/>
  <c r="Q71" i="31"/>
  <c r="Q72" i="31" s="1"/>
  <c r="T67" i="31"/>
  <c r="S76" i="31"/>
  <c r="P72" i="31"/>
  <c r="AB30" i="15"/>
  <c r="C49" i="7" s="1"/>
  <c r="P33" i="15"/>
  <c r="L33" i="15" s="1"/>
  <c r="AB33" i="15" s="1"/>
  <c r="P32" i="15"/>
  <c r="P34" i="15" s="1"/>
  <c r="P87" i="31" l="1"/>
  <c r="P90" i="31" s="1"/>
  <c r="P88" i="31"/>
  <c r="Q78" i="31"/>
  <c r="Q83" i="31" s="1"/>
  <c r="Q88" i="31" s="1"/>
  <c r="P84" i="31"/>
  <c r="P89" i="31" s="1"/>
  <c r="T65" i="31"/>
  <c r="T59" i="31" s="1"/>
  <c r="T66" i="31" s="1"/>
  <c r="T68" i="31" s="1"/>
  <c r="T76" i="31"/>
  <c r="U67" i="31"/>
  <c r="S75" i="31"/>
  <c r="S70" i="31"/>
  <c r="R71" i="31"/>
  <c r="L32" i="15"/>
  <c r="R78" i="31" l="1"/>
  <c r="R83" i="31" s="1"/>
  <c r="R86" i="31" s="1"/>
  <c r="Q84" i="31"/>
  <c r="Q89" i="31" s="1"/>
  <c r="Q86" i="31"/>
  <c r="Q87" i="31" s="1"/>
  <c r="Q90" i="31" s="1"/>
  <c r="U65" i="31"/>
  <c r="U59" i="31" s="1"/>
  <c r="U66" i="31" s="1"/>
  <c r="U68" i="31" s="1"/>
  <c r="R72" i="31"/>
  <c r="T75" i="31"/>
  <c r="T70" i="31"/>
  <c r="V67" i="31"/>
  <c r="U76" i="31"/>
  <c r="S71" i="31"/>
  <c r="L34" i="15"/>
  <c r="AB34" i="15" s="1"/>
  <c r="AB32" i="15"/>
  <c r="S78" i="31" l="1"/>
  <c r="S83" i="31" s="1"/>
  <c r="S84" i="31" s="1"/>
  <c r="R88" i="31"/>
  <c r="R84" i="31"/>
  <c r="R89" i="31" s="1"/>
  <c r="R87" i="31"/>
  <c r="R90" i="31" s="1"/>
  <c r="V65" i="31"/>
  <c r="V59" i="31" s="1"/>
  <c r="V66" i="31" s="1"/>
  <c r="V68" i="31" s="1"/>
  <c r="S72" i="31"/>
  <c r="V76" i="31"/>
  <c r="W67" i="31"/>
  <c r="U70" i="31"/>
  <c r="U75" i="31"/>
  <c r="T71" i="31"/>
  <c r="S88" i="31" l="1"/>
  <c r="S86" i="31"/>
  <c r="S87" i="31" s="1"/>
  <c r="S90" i="31" s="1"/>
  <c r="S89" i="31"/>
  <c r="T78" i="31"/>
  <c r="T83" i="31" s="1"/>
  <c r="T86" i="31" s="1"/>
  <c r="W65" i="31"/>
  <c r="W59" i="31" s="1"/>
  <c r="W66" i="31" s="1"/>
  <c r="W68" i="31" s="1"/>
  <c r="U71" i="31"/>
  <c r="V70" i="31"/>
  <c r="V75" i="31"/>
  <c r="T72" i="31"/>
  <c r="X67" i="31"/>
  <c r="W76" i="31"/>
  <c r="T87" i="31" l="1"/>
  <c r="T90" i="31" s="1"/>
  <c r="T84" i="31"/>
  <c r="T89" i="31" s="1"/>
  <c r="T88" i="31"/>
  <c r="U78" i="31"/>
  <c r="U83" i="31" s="1"/>
  <c r="U86" i="31" s="1"/>
  <c r="U87" i="31" s="1"/>
  <c r="X65" i="31"/>
  <c r="X59" i="31" s="1"/>
  <c r="X66" i="31" s="1"/>
  <c r="X68" i="31" s="1"/>
  <c r="U72" i="31"/>
  <c r="W75" i="31"/>
  <c r="W70" i="31"/>
  <c r="V71" i="31"/>
  <c r="X76" i="31"/>
  <c r="Y67" i="31"/>
  <c r="V78" i="31" l="1"/>
  <c r="V83" i="31" s="1"/>
  <c r="V88" i="31" s="1"/>
  <c r="U90" i="31"/>
  <c r="U84" i="31"/>
  <c r="U89" i="31" s="1"/>
  <c r="U88" i="31"/>
  <c r="V72" i="31"/>
  <c r="Y65" i="31"/>
  <c r="Y59" i="31" s="1"/>
  <c r="Y66" i="31" s="1"/>
  <c r="Y68" i="31" s="1"/>
  <c r="X75" i="31"/>
  <c r="X70" i="31"/>
  <c r="W71" i="31"/>
  <c r="Y76" i="31"/>
  <c r="Z67" i="31"/>
  <c r="W78" i="31" l="1"/>
  <c r="W83" i="31" s="1"/>
  <c r="W86" i="31" s="1"/>
  <c r="V86" i="31"/>
  <c r="V87" i="31" s="1"/>
  <c r="V90" i="31" s="1"/>
  <c r="V84" i="31"/>
  <c r="V89" i="31" s="1"/>
  <c r="Z65" i="31"/>
  <c r="Z59" i="31" s="1"/>
  <c r="Z66" i="31" s="1"/>
  <c r="Z68" i="31" s="1"/>
  <c r="W72" i="31"/>
  <c r="X71" i="31"/>
  <c r="Z76" i="31"/>
  <c r="AA67" i="31"/>
  <c r="Y70" i="31"/>
  <c r="Y75" i="31"/>
  <c r="W87" i="31" l="1"/>
  <c r="W90" i="31" s="1"/>
  <c r="X78" i="31"/>
  <c r="X83" i="31" s="1"/>
  <c r="X84" i="31" s="1"/>
  <c r="X89" i="31" s="1"/>
  <c r="W84" i="31"/>
  <c r="W89" i="31" s="1"/>
  <c r="W88" i="31"/>
  <c r="AA65" i="31"/>
  <c r="AA59" i="31" s="1"/>
  <c r="AA66" i="31" s="1"/>
  <c r="AA68" i="31" s="1"/>
  <c r="X72" i="31"/>
  <c r="Y71" i="31"/>
  <c r="Z70" i="31"/>
  <c r="Z75" i="31"/>
  <c r="AA76" i="31"/>
  <c r="AB67" i="31"/>
  <c r="X86" i="31" l="1"/>
  <c r="X87" i="31" s="1"/>
  <c r="X90" i="31" s="1"/>
  <c r="X88" i="31"/>
  <c r="Y78" i="31"/>
  <c r="Y83" i="31" s="1"/>
  <c r="Y86" i="31" s="1"/>
  <c r="AB65" i="31"/>
  <c r="AB59" i="31" s="1"/>
  <c r="AB66" i="31" s="1"/>
  <c r="AB68" i="31" s="1"/>
  <c r="Y72" i="31"/>
  <c r="Z71" i="31"/>
  <c r="AB76" i="31"/>
  <c r="AC67" i="31"/>
  <c r="AC65" i="31" s="1"/>
  <c r="AC59" i="31" s="1"/>
  <c r="AC66" i="31" s="1"/>
  <c r="AA75" i="31"/>
  <c r="AA70" i="31"/>
  <c r="Y87" i="31" l="1"/>
  <c r="Y90" i="31" s="1"/>
  <c r="Y84" i="31"/>
  <c r="Y89" i="31" s="1"/>
  <c r="Z78" i="31"/>
  <c r="Z83" i="31" s="1"/>
  <c r="Y88" i="31"/>
  <c r="AB70" i="31"/>
  <c r="AB75" i="31"/>
  <c r="Z86" i="31"/>
  <c r="Z87" i="31" s="1"/>
  <c r="Z88" i="31"/>
  <c r="Z84" i="31"/>
  <c r="AA71" i="31"/>
  <c r="Z72" i="31"/>
  <c r="AD67" i="31"/>
  <c r="AD65" i="31" s="1"/>
  <c r="AD59" i="31" s="1"/>
  <c r="AD66" i="31" s="1"/>
  <c r="AC76" i="31"/>
  <c r="AC68" i="31"/>
  <c r="Z90" i="31" l="1"/>
  <c r="Z89" i="31"/>
  <c r="AA78" i="31"/>
  <c r="AA83" i="31" s="1"/>
  <c r="AA72" i="31"/>
  <c r="AC70" i="31"/>
  <c r="AC75" i="31"/>
  <c r="AA86" i="31"/>
  <c r="AA87" i="31" s="1"/>
  <c r="AA90" i="31" s="1"/>
  <c r="AA88" i="31"/>
  <c r="AA84" i="31"/>
  <c r="AA89" i="31" s="1"/>
  <c r="AE67" i="31"/>
  <c r="AE65" i="31" s="1"/>
  <c r="AE59" i="31" s="1"/>
  <c r="AE66" i="31" s="1"/>
  <c r="AD68" i="31"/>
  <c r="AD76" i="31"/>
  <c r="AB71" i="31"/>
  <c r="AB78" i="31" s="1"/>
  <c r="AB83" i="31" s="1"/>
  <c r="AD75" i="31" l="1"/>
  <c r="AD70" i="31"/>
  <c r="AB72" i="31"/>
  <c r="AE76" i="31"/>
  <c r="AE68" i="31"/>
  <c r="AB86" i="31"/>
  <c r="AB87" i="31" s="1"/>
  <c r="AB90" i="31" s="1"/>
  <c r="AB88" i="31"/>
  <c r="AB84" i="31"/>
  <c r="AB89" i="31" s="1"/>
  <c r="AC71" i="31"/>
  <c r="AC78" i="31" s="1"/>
  <c r="AC83" i="31" s="1"/>
  <c r="AC72" i="31" l="1"/>
  <c r="AD71" i="31"/>
  <c r="AD78" i="31" s="1"/>
  <c r="AD83" i="31" s="1"/>
  <c r="AC86" i="31"/>
  <c r="AC87" i="31" s="1"/>
  <c r="AC90" i="31" s="1"/>
  <c r="AC88" i="31"/>
  <c r="AC84" i="31"/>
  <c r="AC89" i="31" s="1"/>
  <c r="AE75" i="31"/>
  <c r="AE70" i="31"/>
  <c r="AD72" i="31" l="1"/>
  <c r="AE71" i="31"/>
  <c r="AE78" i="31" s="1"/>
  <c r="AE83" i="31" s="1"/>
  <c r="AD86" i="31"/>
  <c r="AD87" i="31" s="1"/>
  <c r="AD90" i="31" s="1"/>
  <c r="AD88" i="31"/>
  <c r="AD84" i="31"/>
  <c r="AD89" i="31" s="1"/>
  <c r="AE72" i="31" l="1"/>
  <c r="AE86" i="31"/>
  <c r="AE87" i="31" s="1"/>
  <c r="AE90" i="31" s="1"/>
  <c r="G28" i="31" s="1"/>
  <c r="AE84" i="31"/>
  <c r="AE89" i="31" s="1"/>
  <c r="G27" i="31" s="1"/>
  <c r="AE88" i="31"/>
</calcChain>
</file>

<file path=xl/sharedStrings.xml><?xml version="1.0" encoding="utf-8"?>
<sst xmlns="http://schemas.openxmlformats.org/spreadsheetml/2006/main" count="1615" uniqueCount="607">
  <si>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</si>
  <si>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</si>
  <si>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</si>
  <si>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</si>
  <si>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</si>
  <si>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</si>
  <si>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</si>
  <si>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</si>
  <si>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</si>
  <si>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</si>
  <si>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</si>
  <si>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</si>
  <si>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</si>
  <si>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</si>
  <si>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</si>
  <si>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</si>
  <si>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</si>
  <si>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</si>
  <si>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</si>
  <si>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</si>
  <si>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</si>
  <si>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</si>
  <si>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</si>
  <si>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</si>
  <si>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</si>
  <si>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</si>
  <si>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</si>
  <si>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</si>
  <si>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</si>
  <si>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</si>
  <si>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</si>
  <si>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</si>
  <si>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</si>
  <si>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</si>
  <si>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</si>
  <si>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</si>
  <si>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</si>
  <si>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</si>
  <si>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</si>
  <si>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</si>
  <si>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</si>
  <si>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</si>
  <si>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</si>
  <si>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</si>
  <si>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</si>
  <si>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</si>
  <si>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</si>
  <si>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</si>
  <si>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</si>
  <si>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</si>
  <si>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</si>
  <si>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</si>
  <si>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</si>
  <si>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</si>
  <si>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</si>
  <si>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</si>
  <si>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</si>
  <si>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</si>
  <si>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</si>
  <si>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</si>
  <si>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</si>
  <si>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</si>
  <si>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</si>
  <si>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</si>
  <si>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</si>
  <si>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</si>
  <si>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</si>
  <si>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</si>
  <si>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</si>
  <si>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</si>
  <si>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</si>
  <si>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</si>
  <si>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</si>
  <si>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</si>
  <si>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</si>
  <si>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</si>
  <si>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</si>
  <si>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</si>
  <si>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</si>
  <si>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</si>
  <si>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</si>
  <si>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</si>
  <si>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</si>
  <si>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</si>
  <si>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</si>
  <si>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</si>
  <si>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</si>
  <si>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</si>
  <si>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</si>
  <si>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</si>
  <si>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</si>
  <si>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</si>
  <si>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</si>
  <si>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</si>
  <si>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</si>
  <si>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</si>
  <si>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</si>
  <si>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</si>
  <si>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</si>
  <si>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</si>
  <si>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</si>
  <si>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</si>
  <si>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</si>
  <si>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</si>
  <si>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</si>
  <si>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</si>
  <si>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</si>
  <si>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</si>
  <si>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</si>
  <si>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</si>
  <si>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</si>
  <si>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</si>
  <si>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</si>
  <si>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</si>
  <si>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</si>
  <si>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</si>
  <si>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</si>
  <si>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</si>
  <si>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</si>
  <si>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</si>
  <si>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</si>
  <si>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</si>
  <si>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</si>
  <si>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</si>
  <si>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</si>
  <si>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</si>
  <si>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</si>
  <si>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</si>
  <si>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</si>
  <si>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</si>
  <si>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</si>
  <si>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</si>
  <si>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</si>
  <si>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</si>
  <si>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</si>
  <si>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</si>
  <si>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</si>
  <si>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</si>
  <si>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</si>
  <si>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</si>
  <si>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</si>
  <si>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</si>
  <si>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</si>
  <si>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</si>
  <si>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</si>
  <si>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</si>
  <si>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</si>
  <si>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</si>
  <si>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</si>
  <si>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</si>
  <si>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</si>
  <si>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</si>
  <si>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</si>
  <si>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</si>
  <si>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</si>
  <si>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</si>
  <si>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</si>
  <si>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</si>
  <si>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</si>
  <si>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</si>
  <si>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</si>
  <si>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</si>
  <si>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</si>
  <si>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</si>
  <si>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</si>
  <si>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</si>
  <si>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</si>
  <si>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</si>
  <si>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</si>
  <si>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</si>
  <si>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</si>
  <si>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</si>
  <si>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</si>
  <si>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</si>
  <si>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</si>
  <si>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</si>
  <si>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</si>
  <si>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</si>
  <si>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</si>
  <si>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</si>
  <si>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</si>
  <si>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</si>
  <si>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</si>
  <si>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</si>
  <si>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</si>
  <si>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</si>
  <si>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</si>
  <si>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</si>
  <si>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</si>
  <si>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</si>
  <si>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</si>
  <si>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</si>
  <si>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</si>
  <si>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</si>
  <si>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</si>
  <si>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</si>
  <si>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</si>
  <si>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</si>
  <si>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</si>
  <si>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</si>
  <si>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</si>
  <si>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</si>
  <si>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</si>
  <si>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</si>
  <si>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</si>
  <si>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</si>
  <si>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</si>
  <si>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</si>
  <si>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</si>
  <si>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</si>
  <si>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</si>
  <si>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</si>
  <si>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</si>
  <si>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</si>
  <si>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</si>
  <si>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</si>
  <si>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</si>
  <si>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</si>
  <si>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</si>
  <si>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</si>
  <si>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</si>
  <si>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</si>
  <si>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</si>
  <si>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</si>
  <si>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</si>
  <si>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</si>
  <si>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</si>
  <si>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</si>
  <si>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</si>
  <si>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</si>
  <si>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</si>
  <si>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</si>
  <si>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</si>
  <si>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</si>
  <si>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</si>
  <si>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</si>
  <si>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</si>
  <si>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</si>
  <si>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</si>
  <si>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</si>
  <si>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</si>
  <si>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</si>
  <si>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</si>
  <si>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</si>
  <si>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</si>
  <si>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</si>
  <si>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</si>
  <si>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</si>
  <si>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</si>
  <si>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</si>
  <si>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</si>
  <si>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</si>
  <si>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</si>
  <si>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</si>
  <si>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</si>
  <si>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</si>
  <si>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</si>
  <si>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</si>
  <si>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</si>
  <si>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</si>
  <si>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</si>
  <si>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</si>
  <si>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</si>
  <si>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</si>
  <si>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</si>
  <si>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</si>
  <si>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</si>
  <si>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</si>
  <si>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</si>
  <si>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</si>
  <si>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</si>
  <si>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</si>
  <si>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</si>
  <si>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</si>
  <si>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</si>
  <si>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</si>
  <si>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</si>
  <si>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</si>
  <si>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</si>
  <si>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</si>
  <si>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</si>
  <si>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</si>
  <si>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</si>
  <si>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</si>
  <si>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</si>
  <si>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</si>
  <si>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</si>
  <si>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</si>
  <si>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</si>
  <si>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</si>
  <si>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</si>
  <si>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</si>
  <si>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</si>
  <si>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</si>
  <si>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</si>
  <si>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</si>
  <si>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</si>
  <si>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</si>
  <si>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</si>
  <si>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</si>
  <si>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</si>
  <si>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</si>
  <si>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</si>
  <si>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</si>
  <si>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</si>
  <si>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</si>
  <si>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</si>
  <si>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</si>
  <si>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</si>
  <si>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</si>
  <si>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</si>
  <si>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</si>
  <si>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</si>
  <si>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</si>
  <si>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</si>
  <si>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</si>
  <si>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</si>
  <si>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</si>
  <si>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</si>
  <si>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</si>
  <si>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</si>
  <si>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</si>
  <si>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</si>
  <si>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</si>
  <si>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</si>
  <si>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</si>
  <si>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</si>
  <si>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</si>
  <si>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</si>
  <si>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</si>
  <si>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</si>
  <si>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</si>
  <si>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</si>
  <si>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</si>
  <si>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</si>
  <si>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</si>
  <si>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</si>
  <si>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</si>
  <si>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</si>
  <si>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</si>
  <si>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</si>
  <si>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</si>
  <si>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</si>
  <si>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</si>
  <si>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</si>
  <si>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</si>
  <si>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</si>
  <si>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</si>
  <si>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</si>
  <si>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</si>
  <si>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</si>
  <si>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</si>
  <si>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</si>
  <si>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</si>
  <si>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</si>
  <si>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</si>
  <si>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</si>
  <si>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</si>
  <si>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</si>
  <si>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</si>
  <si>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</si>
  <si>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</si>
  <si>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</si>
  <si>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</si>
  <si>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</si>
  <si>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</si>
  <si>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</si>
  <si>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</si>
  <si>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</si>
  <si>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</si>
  <si>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</si>
  <si>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</si>
  <si>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</si>
  <si>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</si>
  <si>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</si>
  <si>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</si>
  <si>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</si>
  <si>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</si>
  <si>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</si>
  <si>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</si>
  <si>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</si>
  <si>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</si>
  <si>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</si>
  <si>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</si>
  <si>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</si>
  <si>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</si>
  <si>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</si>
  <si>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</si>
  <si>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</si>
  <si>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</si>
  <si>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</si>
  <si>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</si>
  <si>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</si>
  <si>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</si>
  <si>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</si>
  <si>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</si>
  <si>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</si>
  <si>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</si>
  <si>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</si>
  <si>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</si>
  <si>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</si>
  <si>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</si>
  <si>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</si>
  <si>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</si>
  <si>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</si>
  <si>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</si>
  <si>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</si>
  <si>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</si>
  <si>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</si>
  <si>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</si>
  <si>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</si>
  <si>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</si>
  <si>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</si>
  <si>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</si>
  <si>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</si>
  <si>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</si>
  <si>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</si>
  <si>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</si>
  <si>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</si>
  <si>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</si>
  <si>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</si>
  <si>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</si>
  <si>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</si>
  <si>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</si>
  <si>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</si>
  <si>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</si>
  <si>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</si>
  <si>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</si>
  <si>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</si>
  <si>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</si>
  <si>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</si>
  <si>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</si>
  <si>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</si>
  <si>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</si>
  <si>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</si>
  <si>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</si>
  <si>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</si>
  <si>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</si>
  <si>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</si>
  <si>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</si>
  <si>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</si>
  <si>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</si>
  <si>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</si>
  <si>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</si>
  <si>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</si>
  <si>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</si>
  <si>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</si>
  <si>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</si>
  <si>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</si>
  <si>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</si>
  <si>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</si>
  <si>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</si>
  <si>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</si>
  <si>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</si>
  <si>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</si>
  <si>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</si>
  <si>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</si>
  <si>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</si>
  <si>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</si>
  <si>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</si>
  <si>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</si>
  <si>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</si>
  <si>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</si>
  <si>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</si>
  <si>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</si>
  <si>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</si>
  <si>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</si>
  <si>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</si>
  <si>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</si>
  <si>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</si>
  <si>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</si>
  <si>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</si>
  <si>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</si>
  <si>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</si>
  <si>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</si>
  <si>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</si>
  <si>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</si>
  <si>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</si>
  <si>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</si>
  <si>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</si>
  <si>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</si>
  <si>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</si>
  <si>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</si>
  <si>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</si>
  <si>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</si>
  <si>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</si>
  <si>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</si>
  <si>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</si>
  <si>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</si>
  <si>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</si>
  <si>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</si>
  <si>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</si>
  <si>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</si>
  <si>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</si>
  <si>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</si>
  <si>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</si>
  <si>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</si>
  <si>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</si>
  <si>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</si>
  <si>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</si>
  <si>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</si>
  <si>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</si>
  <si>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</si>
  <si>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</si>
  <si>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</si>
  <si>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</si>
  <si>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</si>
  <si>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</si>
  <si>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</si>
  <si>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</si>
  <si>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</si>
  <si>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</si>
  <si>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</si>
  <si>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</si>
  <si>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</si>
  <si>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</si>
  <si>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</si>
  <si>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</si>
  <si>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</si>
  <si>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</si>
  <si>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</si>
  <si>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</si>
  <si>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</si>
  <si>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</si>
  <si>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</si>
  <si>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</si>
  <si>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</si>
  <si>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</si>
  <si>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</si>
  <si>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</si>
  <si>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</si>
  <si>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</si>
  <si>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</si>
  <si>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</si>
  <si>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</si>
  <si>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</si>
  <si>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</si>
  <si>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</si>
  <si>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</si>
  <si>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</si>
  <si>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2018</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</si>
  <si>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</si>
  <si>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</si>
  <si>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</si>
  <si>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Выполнение строительно-монтажных работ, пуско-наладочных работ, поставку материально-технических ресурсов и оборудования</t>
  </si>
  <si>
    <t xml:space="preserve"> по состоянию на 01.01.года (N-1)</t>
  </si>
  <si>
    <t>План (факт) года (N-1)</t>
  </si>
  <si>
    <t>Год N</t>
  </si>
  <si>
    <t>Год (N+1)</t>
  </si>
  <si>
    <t>Год (N+2)</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</si>
  <si>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</si>
  <si>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</si>
  <si>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</si>
  <si>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</si>
  <si>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</si>
  <si>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</si>
  <si>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ТСН-2</t>
  </si>
  <si>
    <t>Трансформатор 15/0,4кВ 100кВА</t>
  </si>
  <si>
    <t>1967</t>
  </si>
  <si>
    <t>1985</t>
  </si>
  <si>
    <t>15кВ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</si>
  <si>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</si>
  <si>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</si>
  <si>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СМР, оборудование</t>
  </si>
  <si>
    <t>РУ-15кВ</t>
  </si>
  <si>
    <t>1986</t>
  </si>
  <si>
    <t xml:space="preserve">15 кВ </t>
  </si>
  <si>
    <t xml:space="preserve">  механический износ выключатели отработали более 30 лет (1985 года )</t>
  </si>
  <si>
    <t>проектирование</t>
  </si>
  <si>
    <t xml:space="preserve">показатель замены выключателей Вз=9 шт. показатель замены силовых трансформаторов,Рз_тр 100 кВА </t>
  </si>
  <si>
    <t>0,993 руб/1 выключатель</t>
  </si>
  <si>
    <t>не техприсоединение</t>
  </si>
  <si>
    <t>Сметная стоимость проекта в прогнозных ценах с НДС, млн. руб.</t>
  </si>
  <si>
    <t>Описание состава объектов инвестиционной деятельности их количества и характеристик в отношении каждого такого объекта</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</si>
  <si>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</si>
  <si>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</si>
  <si>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</si>
  <si>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</si>
  <si>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</si>
  <si>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</si>
  <si>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</si>
  <si>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</si>
  <si>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</si>
  <si>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</si>
  <si>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</si>
  <si>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</si>
  <si>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</si>
  <si>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Строительство РП-15 кВ (замена СП-2 15 кВ) в г. Пионерский Калининградской области</t>
  </si>
  <si>
    <t>O 24-28</t>
  </si>
  <si>
    <t>Год раскрытия информации: 2024 год</t>
  </si>
  <si>
    <t xml:space="preserve"> г. Пионерский Калининградской области</t>
  </si>
  <si>
    <t>РПн</t>
  </si>
  <si>
    <t>СП 2</t>
  </si>
  <si>
    <t>П</t>
  </si>
  <si>
    <t xml:space="preserve"> по состоянию на 01.01.2024</t>
  </si>
  <si>
    <t>Строительство РП-15 кВ</t>
  </si>
  <si>
    <t>УСР</t>
  </si>
  <si>
    <t>ячейки РУ-15кВ 7 шт.</t>
  </si>
  <si>
    <t>Выключатель: автоматический с электромагнитным дутьем или вакуумный и элегазовый напряжением до 15 кВ с РЗА и ПА</t>
  </si>
  <si>
    <t>2025</t>
  </si>
  <si>
    <t>отдельные ячейки 15кВ одинарной не секционированной системой сборных шин с маслянными выключателями 20 кВ</t>
  </si>
  <si>
    <t>Выключатель 7 шт.: автоматический с электромагнитным дутьем или вакуумный и элегазовый напряжением до 15 кВ с РЗА и ПА</t>
  </si>
  <si>
    <t xml:space="preserve">Модернизация оборудования для обеспечения надежности электроснабжения. Повышение надежности оказываемых услуг в сфере электроэнергетики, 
Выполнение требований технических регламентов по замене оборудования со сверхнормативным сроком службы. 
Обеспечение возможности подключения новых потребителей.
Повышение индекса технического состояния до 80
</t>
  </si>
  <si>
    <t>объем заключенного договора в ценах 2025 года с НДС 20 %, млн. руб.</t>
  </si>
  <si>
    <t>Предложение по корректировке утв. плана 2024</t>
  </si>
  <si>
    <t>Строительство нового РП на 7 выключателей  15кВ с РЗА и ПА на микропроцессорной базе. Трансформатор собственных нужд (ТСН-2 )15/0,4кВ 100 кВА</t>
  </si>
  <si>
    <t>Строительство нового РП на 7 выключателей  15 кВ с РЗА и ПА на микропроцессорной базе (замена СП-2 15 кВ)  в г. Пионерский Калининградской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</si>
</sst>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0.0%"/>
    <numFmt numFmtId="171" formatCode="_(* #,##0_);_(* \(#,##0\);_(* &quot;-&quot;_);_(@_)"/>
    <numFmt numFmtId="172" formatCode="#,##0.000"/>
    <numFmt numFmtId="173" formatCode="#,##0.00_ ;\-#,##0.00\ "/>
    <numFmt numFmtId="174" formatCode="_-* #,##0\ _₽_-;\-* #,##0\ _₽_-;_-* &quot;-&quot;??\ _₽_-;_-@_-"/>
    <numFmt numFmtId="175" formatCode="_-* #,##0.0000\ _₽_-;\-* #,##0.0000\ _₽_-;_-* &quot;-&quot;??\ _₽_-;_-@_-"/>
  </numFmts>
  <fonts count="86"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u/>
      <sz val="12"/>
      <color theme="1"/>
      <name val="Times New Roman"/>
      <family val="1"/>
      <charset val="204"/>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0"/>
      <color rgb="FF000000"/>
      <name val="Arial Cyr"/>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name val="Times New Roman Cyr"/>
      <charset val="204"/>
    </font>
    <font>
      <u/>
      <sz val="11"/>
      <color theme="10"/>
      <name val="Calibri"/>
      <family val="2"/>
      <charset val="204"/>
      <scheme val="minor"/>
    </font>
    <font>
      <sz val="10"/>
      <color rgb="FF000000"/>
      <name val="Arial"/>
      <family val="2"/>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u/>
      <sz val="10"/>
      <name val="Times New Roman"/>
      <family val="1"/>
      <charset val="204"/>
    </font>
    <font>
      <b/>
      <u/>
      <sz val="10"/>
      <color rgb="FF000000"/>
      <name val="Times New Roman"/>
      <family val="1"/>
      <charset val="204"/>
    </font>
    <font>
      <sz val="10"/>
      <color rgb="FFFFFFFF"/>
      <name val="Times New Roman"/>
      <family val="1"/>
      <charset val="204"/>
    </font>
    <font>
      <sz val="10"/>
      <color rgb="FFC0C0C0"/>
      <name val="Times New Roman"/>
      <family val="1"/>
      <charset val="204"/>
    </font>
    <font>
      <sz val="11"/>
      <color theme="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FFFF00"/>
        <bgColor rgb="FF000000"/>
      </patternFill>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29">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5"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0"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6" fillId="0" borderId="0"/>
    <xf numFmtId="0" fontId="10" fillId="0" borderId="0"/>
    <xf numFmtId="9" fontId="1" fillId="0" borderId="0" applyFont="0" applyFill="0" applyBorder="0" applyAlignment="0" applyProtection="0"/>
    <xf numFmtId="0" fontId="10" fillId="0" borderId="0"/>
    <xf numFmtId="165" fontId="1" fillId="0" borderId="0" applyFont="0" applyFill="0" applyBorder="0" applyAlignment="0" applyProtection="0"/>
    <xf numFmtId="9" fontId="40" fillId="0" borderId="0" applyFont="0" applyFill="0" applyBorder="0" applyAlignment="0" applyProtection="0"/>
    <xf numFmtId="9" fontId="2" fillId="0" borderId="0" applyFont="0" applyFill="0" applyBorder="0" applyAlignment="0" applyProtection="0"/>
    <xf numFmtId="0" fontId="1" fillId="0" borderId="0"/>
    <xf numFmtId="165"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0" fillId="0" borderId="0" applyFont="0" applyFill="0" applyBorder="0" applyAlignment="0" applyProtection="0"/>
    <xf numFmtId="0" fontId="10" fillId="0" borderId="0"/>
    <xf numFmtId="165"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0" fontId="10" fillId="0" borderId="0"/>
    <xf numFmtId="0" fontId="74" fillId="0" borderId="0" applyNumberFormat="0" applyFill="0" applyBorder="0" applyAlignment="0" applyProtection="0"/>
  </cellStyleXfs>
  <cellXfs count="409">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1"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8" fillId="0" borderId="1" xfId="2" applyFont="1" applyBorder="1" applyAlignment="1">
      <alignment horizontal="center" vertical="center" wrapText="1"/>
    </xf>
    <xf numFmtId="0" fontId="42"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2" fillId="0" borderId="2" xfId="45" applyFont="1" applyBorder="1" applyAlignment="1">
      <alignment horizontal="left" vertical="center" wrapText="1"/>
    </xf>
    <xf numFmtId="0" fontId="38" fillId="0" borderId="1" xfId="2" applyFont="1" applyBorder="1" applyAlignment="1">
      <alignment horizontal="left" vertical="center" wrapText="1"/>
    </xf>
    <xf numFmtId="49" fontId="38"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8" fillId="0" borderId="10" xfId="2" applyFont="1" applyBorder="1" applyAlignment="1">
      <alignment horizontal="center" vertical="center" wrapText="1"/>
    </xf>
    <xf numFmtId="0" fontId="38"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8" fillId="0" borderId="0" xfId="52" applyFont="1"/>
    <xf numFmtId="0" fontId="11" fillId="0" borderId="0" xfId="2" applyFont="1"/>
    <xf numFmtId="0" fontId="7" fillId="0" borderId="0" xfId="2" applyFont="1" applyAlignment="1">
      <alignment vertical="center"/>
    </xf>
    <xf numFmtId="0" fontId="44" fillId="0" borderId="0" xfId="2" applyFont="1"/>
    <xf numFmtId="0" fontId="39" fillId="0" borderId="1" xfId="45" applyFont="1" applyBorder="1" applyAlignment="1">
      <alignment horizontal="left" vertical="center" wrapText="1"/>
    </xf>
    <xf numFmtId="0" fontId="38"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8" fillId="0" borderId="1" xfId="62" applyFont="1" applyBorder="1" applyAlignment="1">
      <alignment horizontal="center" vertical="top"/>
    </xf>
    <xf numFmtId="0" fontId="36" fillId="0" borderId="0" xfId="2" applyFont="1"/>
    <xf numFmtId="2" fontId="45" fillId="0" borderId="0" xfId="2" applyNumberFormat="1" applyFont="1" applyAlignment="1">
      <alignment horizontal="right" vertical="top" wrapText="1"/>
    </xf>
    <xf numFmtId="0" fontId="36" fillId="0" borderId="0" xfId="2" applyFont="1" applyAlignment="1">
      <alignment horizontal="right"/>
    </xf>
    <xf numFmtId="0" fontId="37" fillId="0" borderId="25" xfId="2" applyFont="1" applyBorder="1" applyAlignment="1">
      <alignment horizontal="justify"/>
    </xf>
    <xf numFmtId="0" fontId="36" fillId="0" borderId="25" xfId="2" applyFont="1" applyBorder="1" applyAlignment="1">
      <alignment horizontal="justify"/>
    </xf>
    <xf numFmtId="0" fontId="36" fillId="0" borderId="26" xfId="2" applyFont="1" applyBorder="1" applyAlignment="1">
      <alignment horizontal="justify"/>
    </xf>
    <xf numFmtId="0" fontId="37" fillId="0" borderId="25" xfId="2" applyFont="1" applyBorder="1" applyAlignment="1">
      <alignment vertical="top" wrapText="1"/>
    </xf>
    <xf numFmtId="0" fontId="37" fillId="0" borderId="27" xfId="2" applyFont="1" applyBorder="1" applyAlignment="1">
      <alignment vertical="top" wrapText="1"/>
    </xf>
    <xf numFmtId="0" fontId="37" fillId="0" borderId="26" xfId="2" applyFont="1" applyBorder="1" applyAlignment="1">
      <alignment vertical="top" wrapText="1"/>
    </xf>
    <xf numFmtId="0" fontId="36" fillId="0" borderId="25" xfId="2" applyFont="1" applyBorder="1" applyAlignment="1">
      <alignment horizontal="justify" vertical="top" wrapText="1"/>
    </xf>
    <xf numFmtId="0" fontId="36" fillId="0" borderId="26" xfId="2" applyFont="1" applyBorder="1" applyAlignment="1">
      <alignment vertical="top" wrapText="1"/>
    </xf>
    <xf numFmtId="0" fontId="36" fillId="0" borderId="25" xfId="2" applyFont="1" applyBorder="1" applyAlignment="1">
      <alignment vertical="top" wrapText="1"/>
    </xf>
    <xf numFmtId="0" fontId="36" fillId="0" borderId="29" xfId="2" applyFont="1" applyBorder="1" applyAlignment="1">
      <alignment vertical="top" wrapText="1"/>
    </xf>
    <xf numFmtId="0" fontId="36" fillId="0" borderId="27" xfId="2" applyFont="1" applyBorder="1" applyAlignment="1">
      <alignment vertical="top" wrapText="1"/>
    </xf>
    <xf numFmtId="0" fontId="37" fillId="0" borderId="27" xfId="2" applyFont="1" applyBorder="1" applyAlignment="1">
      <alignment horizontal="justify" vertical="top" wrapText="1"/>
    </xf>
    <xf numFmtId="0" fontId="37" fillId="0" borderId="25" xfId="2" applyFont="1" applyBorder="1" applyAlignment="1">
      <alignment horizontal="justify" vertical="top" wrapText="1"/>
    </xf>
    <xf numFmtId="0" fontId="36" fillId="0" borderId="31" xfId="2" applyFont="1" applyBorder="1" applyAlignment="1">
      <alignment horizontal="justify" vertical="top" wrapText="1"/>
    </xf>
    <xf numFmtId="0" fontId="36" fillId="0" borderId="30" xfId="2" applyFont="1" applyBorder="1" applyAlignment="1">
      <alignment vertical="top" wrapText="1"/>
    </xf>
    <xf numFmtId="0" fontId="37" fillId="0" borderId="26" xfId="2" applyFont="1" applyBorder="1" applyAlignment="1">
      <alignment horizontal="left" vertical="center" wrapText="1"/>
    </xf>
    <xf numFmtId="0" fontId="36" fillId="0" borderId="30" xfId="2" applyFont="1" applyBorder="1" applyAlignment="1">
      <alignment horizontal="justify" vertical="top" wrapText="1"/>
    </xf>
    <xf numFmtId="0" fontId="37" fillId="0" borderId="26" xfId="2" applyFont="1" applyBorder="1" applyAlignment="1">
      <alignment horizontal="center" vertical="center" wrapText="1"/>
    </xf>
    <xf numFmtId="0" fontId="36" fillId="0" borderId="27" xfId="2" applyFont="1" applyBorder="1"/>
    <xf numFmtId="1" fontId="37" fillId="0" borderId="0" xfId="2" applyNumberFormat="1" applyFont="1" applyAlignment="1">
      <alignment horizontal="left" vertical="top"/>
    </xf>
    <xf numFmtId="49" fontId="36" fillId="0" borderId="0" xfId="2" applyNumberFormat="1" applyFont="1" applyAlignment="1">
      <alignment horizontal="left" vertical="top" wrapText="1"/>
    </xf>
    <xf numFmtId="49" fontId="36" fillId="0" borderId="0" xfId="2" applyNumberFormat="1" applyFont="1" applyAlignment="1">
      <alignment horizontal="left" vertical="top"/>
    </xf>
    <xf numFmtId="0" fontId="36" fillId="0" borderId="0" xfId="2" applyFont="1" applyAlignment="1">
      <alignment horizontal="center" vertical="center"/>
    </xf>
    <xf numFmtId="0" fontId="44" fillId="0" borderId="0" xfId="2" applyFont="1" applyAlignment="1">
      <alignment horizontal="center"/>
    </xf>
    <xf numFmtId="0" fontId="38" fillId="0" borderId="0" xfId="0" applyFont="1"/>
    <xf numFmtId="0" fontId="38" fillId="0" borderId="0" xfId="0" applyFont="1" applyAlignment="1">
      <alignment vertical="center"/>
    </xf>
    <xf numFmtId="0" fontId="2" fillId="0" borderId="1" xfId="1" applyBorder="1" applyAlignment="1">
      <alignment vertical="center"/>
    </xf>
    <xf numFmtId="172" fontId="36" fillId="0" borderId="25" xfId="2" applyNumberFormat="1" applyFont="1" applyBorder="1" applyAlignment="1">
      <alignment horizontal="justify" vertical="top" wrapText="1"/>
    </xf>
    <xf numFmtId="0" fontId="36" fillId="24" borderId="25" xfId="2" applyFont="1" applyFill="1" applyBorder="1" applyAlignment="1">
      <alignment horizontal="justify" vertical="top" wrapText="1"/>
    </xf>
    <xf numFmtId="172" fontId="36" fillId="24" borderId="25" xfId="2" applyNumberFormat="1" applyFont="1" applyFill="1" applyBorder="1" applyAlignment="1">
      <alignment horizontal="justify" vertical="top" wrapText="1"/>
    </xf>
    <xf numFmtId="10" fontId="36" fillId="0" borderId="25"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3" fontId="38" fillId="0" borderId="1" xfId="2" applyNumberFormat="1" applyFont="1" applyBorder="1" applyAlignment="1">
      <alignment horizontal="center" vertical="center" wrapText="1"/>
    </xf>
    <xf numFmtId="165" fontId="10" fillId="0" borderId="0" xfId="2" applyNumberFormat="1"/>
    <xf numFmtId="173" fontId="10" fillId="0" borderId="1" xfId="2" applyNumberFormat="1" applyBorder="1" applyAlignment="1">
      <alignment horizontal="center" vertical="center" wrapText="1"/>
    </xf>
    <xf numFmtId="173" fontId="38" fillId="0" borderId="1" xfId="62" applyNumberFormat="1" applyFont="1" applyBorder="1" applyAlignment="1" applyProtection="1">
      <alignment horizontal="center" vertical="center" wrapText="1"/>
      <protection locked="0"/>
    </xf>
    <xf numFmtId="173" fontId="35" fillId="0" borderId="1" xfId="2" applyNumberFormat="1" applyFont="1" applyBorder="1" applyAlignment="1">
      <alignment horizontal="center" vertical="center" wrapText="1"/>
    </xf>
    <xf numFmtId="4" fontId="36" fillId="0" borderId="25" xfId="2" applyNumberFormat="1" applyFont="1" applyBorder="1" applyAlignment="1">
      <alignment horizontal="justify" vertical="top" wrapText="1"/>
    </xf>
    <xf numFmtId="0" fontId="38" fillId="0" borderId="0" xfId="0" applyFont="1" applyAlignment="1">
      <alignment horizontal="center" vertical="center"/>
    </xf>
    <xf numFmtId="0" fontId="38" fillId="0" borderId="2" xfId="62" applyFont="1" applyBorder="1" applyAlignment="1">
      <alignment horizontal="center" vertical="center" wrapText="1"/>
    </xf>
    <xf numFmtId="0" fontId="36"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4"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8" fillId="0" borderId="1" xfId="1" applyFont="1" applyBorder="1" applyAlignment="1">
      <alignment horizontal="center" vertical="center" wrapText="1"/>
    </xf>
    <xf numFmtId="0" fontId="37" fillId="0" borderId="1" xfId="2" applyFont="1" applyBorder="1" applyAlignment="1">
      <alignment horizontal="center" vertical="center" wrapText="1"/>
    </xf>
    <xf numFmtId="0" fontId="38"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4"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6" fillId="0" borderId="0" xfId="49" applyFont="1"/>
    <xf numFmtId="0" fontId="37"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6" fillId="0" borderId="0" xfId="49" applyNumberFormat="1" applyFont="1"/>
    <xf numFmtId="0" fontId="38" fillId="0" borderId="1" xfId="49" applyFont="1" applyBorder="1" applyAlignment="1">
      <alignment horizontal="center" vertical="center" wrapText="1"/>
    </xf>
    <xf numFmtId="0" fontId="38"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8" fillId="0" borderId="1" xfId="2" applyNumberFormat="1" applyFont="1" applyBorder="1" applyAlignment="1">
      <alignment horizontal="right" vertical="center" wrapText="1" shrinkToFit="1"/>
    </xf>
    <xf numFmtId="0" fontId="38" fillId="0" borderId="1" xfId="2" applyFont="1" applyBorder="1" applyAlignment="1">
      <alignment horizontal="center" vertical="top" wrapText="1" shrinkToFit="1"/>
    </xf>
    <xf numFmtId="0" fontId="38" fillId="0" borderId="1" xfId="2" applyFont="1" applyBorder="1" applyAlignment="1">
      <alignment horizontal="center" vertical="center" wrapText="1" shrinkToFit="1"/>
    </xf>
    <xf numFmtId="0" fontId="36" fillId="25" borderId="25" xfId="2" applyFont="1" applyFill="1" applyBorder="1" applyAlignment="1">
      <alignment horizontal="justify" vertical="top" wrapText="1"/>
    </xf>
    <xf numFmtId="4" fontId="36"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8"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8" fillId="0" borderId="1" xfId="2" applyNumberFormat="1" applyFont="1" applyBorder="1" applyAlignment="1">
      <alignment horizontal="center" vertical="top" wrapText="1" shrinkToFit="1"/>
    </xf>
    <xf numFmtId="0" fontId="41"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8"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8"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1" fillId="26" borderId="1" xfId="3" applyNumberFormat="1" applyFont="1" applyFill="1" applyBorder="1" applyAlignment="1">
      <alignment horizontal="center" vertical="center" wrapText="1"/>
    </xf>
    <xf numFmtId="0" fontId="41" fillId="26" borderId="1" xfId="3" applyFont="1" applyFill="1" applyBorder="1" applyAlignment="1">
      <alignment horizontal="center" vertical="center" wrapText="1"/>
    </xf>
    <xf numFmtId="14" fontId="36" fillId="0" borderId="30" xfId="2" applyNumberFormat="1" applyFont="1" applyBorder="1" applyAlignment="1">
      <alignment horizontal="justify" vertical="top" wrapText="1"/>
    </xf>
    <xf numFmtId="4" fontId="38" fillId="0" borderId="34" xfId="62" applyNumberFormat="1" applyFont="1" applyBorder="1" applyAlignment="1">
      <alignment horizontal="left" vertical="center" wrapText="1"/>
    </xf>
    <xf numFmtId="0" fontId="36" fillId="0" borderId="25" xfId="2" applyFont="1" applyBorder="1" applyAlignment="1">
      <alignment horizontal="left" vertical="top" wrapText="1"/>
    </xf>
    <xf numFmtId="0" fontId="36" fillId="0" borderId="30" xfId="2" applyFont="1" applyBorder="1" applyAlignment="1">
      <alignment horizontal="left" vertical="top" wrapText="1"/>
    </xf>
    <xf numFmtId="0" fontId="35"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14" fontId="10" fillId="0" borderId="1" xfId="2" applyNumberFormat="1" applyBorder="1" applyAlignment="1">
      <alignment horizontal="center" vertical="center" shrinkToFit="1"/>
    </xf>
    <xf numFmtId="14" fontId="42" fillId="0" borderId="2" xfId="62" applyNumberFormat="1" applyFont="1" applyBorder="1" applyAlignment="1" applyProtection="1">
      <alignment horizontal="center" vertical="center"/>
      <protection locked="0"/>
    </xf>
    <xf numFmtId="14" fontId="42" fillId="0" borderId="2" xfId="62" applyNumberFormat="1" applyFont="1" applyBorder="1" applyAlignment="1" applyProtection="1">
      <alignment horizontal="center" vertical="center" wrapText="1"/>
      <protection locked="0"/>
    </xf>
    <xf numFmtId="3" fontId="72" fillId="0" borderId="33" xfId="67" applyNumberFormat="1" applyFont="1" applyBorder="1" applyAlignment="1">
      <alignment vertical="center"/>
    </xf>
    <xf numFmtId="0" fontId="73" fillId="0" borderId="1" xfId="0" applyFont="1" applyBorder="1" applyAlignment="1">
      <alignment horizontal="center" vertical="center" wrapText="1"/>
    </xf>
    <xf numFmtId="0" fontId="10" fillId="0" borderId="1" xfId="62" applyFont="1" applyBorder="1" applyAlignment="1">
      <alignment horizontal="center" vertical="center"/>
    </xf>
    <xf numFmtId="0" fontId="42" fillId="0" borderId="1" xfId="1" applyFont="1" applyBorder="1" applyAlignment="1">
      <alignment horizontal="center" vertical="center" wrapText="1"/>
    </xf>
    <xf numFmtId="0" fontId="36" fillId="0" borderId="28" xfId="2" applyFont="1" applyBorder="1" applyAlignment="1">
      <alignment horizontal="justify" vertical="top" wrapText="1"/>
    </xf>
    <xf numFmtId="2" fontId="36" fillId="0" borderId="25" xfId="2" applyNumberFormat="1" applyFont="1" applyBorder="1" applyAlignment="1">
      <alignment horizontal="justify" vertical="top" wrapText="1"/>
    </xf>
    <xf numFmtId="0" fontId="74" fillId="0" borderId="25" xfId="128" applyFill="1" applyBorder="1" applyAlignment="1">
      <alignment horizontal="justify"/>
    </xf>
    <xf numFmtId="0" fontId="28" fillId="0" borderId="0" xfId="0" applyFont="1"/>
    <xf numFmtId="0" fontId="75" fillId="0" borderId="0" xfId="0" applyFont="1"/>
    <xf numFmtId="0" fontId="41" fillId="0" borderId="0" xfId="0" applyFont="1" applyAlignment="1">
      <alignment horizontal="right" vertical="center"/>
    </xf>
    <xf numFmtId="0" fontId="69" fillId="0" borderId="0" xfId="0" applyFont="1"/>
    <xf numFmtId="0" fontId="76" fillId="0" borderId="0" xfId="0" applyFont="1"/>
    <xf numFmtId="0" fontId="77" fillId="0" borderId="0" xfId="0" applyFont="1"/>
    <xf numFmtId="0" fontId="41" fillId="0" borderId="0" xfId="0" applyFont="1" applyAlignment="1">
      <alignment horizontal="right"/>
    </xf>
    <xf numFmtId="0" fontId="78" fillId="0" borderId="0" xfId="0" applyFont="1" applyAlignment="1">
      <alignment horizontal="left" vertical="center"/>
    </xf>
    <xf numFmtId="0" fontId="79" fillId="0" borderId="0" xfId="0" applyFont="1" applyAlignment="1">
      <alignment horizontal="left" vertical="center"/>
    </xf>
    <xf numFmtId="0" fontId="80" fillId="0" borderId="0" xfId="0" applyFont="1" applyAlignment="1">
      <alignment vertical="center"/>
    </xf>
    <xf numFmtId="0" fontId="70" fillId="0" borderId="0" xfId="0" applyFont="1" applyAlignment="1">
      <alignment vertical="center"/>
    </xf>
    <xf numFmtId="0" fontId="80" fillId="0" borderId="0" xfId="0" applyFont="1" applyAlignment="1">
      <alignment horizontal="center" vertical="center"/>
    </xf>
    <xf numFmtId="0" fontId="82" fillId="0" borderId="0" xfId="0" applyFont="1" applyAlignment="1">
      <alignment vertical="center"/>
    </xf>
    <xf numFmtId="0" fontId="71" fillId="0" borderId="0" xfId="0" applyFont="1" applyAlignment="1">
      <alignment vertical="center"/>
    </xf>
    <xf numFmtId="0" fontId="41" fillId="0" borderId="0" xfId="0" applyFont="1" applyAlignment="1">
      <alignment horizontal="center" vertical="center"/>
    </xf>
    <xf numFmtId="0" fontId="71" fillId="0" borderId="0" xfId="0" applyFont="1" applyAlignment="1">
      <alignment horizontal="center" vertical="center"/>
    </xf>
    <xf numFmtId="0" fontId="82" fillId="0" borderId="0" xfId="0" applyFont="1" applyAlignment="1">
      <alignment vertical="center" wrapText="1"/>
    </xf>
    <xf numFmtId="0" fontId="71" fillId="0" borderId="0" xfId="0" applyFont="1"/>
    <xf numFmtId="0" fontId="82" fillId="0" borderId="0" xfId="0" applyFont="1" applyAlignment="1">
      <alignment horizontal="center" vertical="center"/>
    </xf>
    <xf numFmtId="0" fontId="70" fillId="0" borderId="0" xfId="0" applyFont="1" applyAlignment="1">
      <alignment vertical="center" wrapText="1"/>
    </xf>
    <xf numFmtId="0" fontId="70" fillId="0" borderId="0" xfId="0" applyFont="1" applyAlignment="1">
      <alignment horizontal="center" vertical="center"/>
    </xf>
    <xf numFmtId="0" fontId="70" fillId="0" borderId="0" xfId="0" applyFont="1" applyAlignment="1">
      <alignment horizontal="left" vertical="center"/>
    </xf>
    <xf numFmtId="0" fontId="71" fillId="0" borderId="32" xfId="0" applyFont="1" applyBorder="1" applyAlignment="1">
      <alignment vertical="center"/>
    </xf>
    <xf numFmtId="0" fontId="71" fillId="0" borderId="34" xfId="0" applyFont="1" applyBorder="1" applyAlignment="1">
      <alignment vertical="center"/>
    </xf>
    <xf numFmtId="3" fontId="71" fillId="0" borderId="41" xfId="0" applyNumberFormat="1" applyFont="1" applyBorder="1" applyAlignment="1">
      <alignment vertical="center"/>
    </xf>
    <xf numFmtId="0" fontId="71" fillId="0" borderId="42" xfId="0" applyFont="1" applyBorder="1" applyAlignment="1">
      <alignment vertical="center"/>
    </xf>
    <xf numFmtId="0" fontId="71" fillId="0" borderId="43" xfId="0" applyFont="1" applyBorder="1" applyAlignment="1">
      <alignment vertical="center"/>
    </xf>
    <xf numFmtId="3" fontId="71" fillId="0" borderId="44" xfId="0" applyNumberFormat="1" applyFont="1" applyBorder="1" applyAlignment="1">
      <alignment vertical="center"/>
    </xf>
    <xf numFmtId="4" fontId="41" fillId="0" borderId="48" xfId="0" applyNumberFormat="1" applyFont="1" applyBorder="1" applyAlignment="1">
      <alignment horizontal="center" vertical="center"/>
    </xf>
    <xf numFmtId="4" fontId="83" fillId="0" borderId="5" xfId="0" applyNumberFormat="1" applyFont="1" applyBorder="1" applyAlignment="1">
      <alignment horizontal="center" vertical="center"/>
    </xf>
    <xf numFmtId="3" fontId="41" fillId="0" borderId="48" xfId="0" applyNumberFormat="1" applyFont="1" applyBorder="1" applyAlignment="1">
      <alignment horizontal="center" vertical="center"/>
    </xf>
    <xf numFmtId="3" fontId="83" fillId="0" borderId="5" xfId="0" applyNumberFormat="1" applyFont="1" applyBorder="1" applyAlignment="1">
      <alignment horizontal="center" vertical="center"/>
    </xf>
    <xf numFmtId="0" fontId="71" fillId="0" borderId="48" xfId="0" applyFont="1" applyBorder="1" applyAlignment="1">
      <alignment horizontal="center" vertical="center"/>
    </xf>
    <xf numFmtId="0" fontId="83" fillId="0" borderId="5" xfId="0" applyFont="1" applyBorder="1" applyAlignment="1">
      <alignment horizontal="center" vertical="center"/>
    </xf>
    <xf numFmtId="0" fontId="71" fillId="0" borderId="49" xfId="0" applyFont="1" applyBorder="1" applyAlignment="1">
      <alignment vertical="center"/>
    </xf>
    <xf numFmtId="0" fontId="71" fillId="0" borderId="37" xfId="0" applyFont="1" applyBorder="1" applyAlignment="1">
      <alignment vertical="center"/>
    </xf>
    <xf numFmtId="10" fontId="71" fillId="0" borderId="35" xfId="0" applyNumberFormat="1" applyFont="1" applyBorder="1" applyAlignment="1">
      <alignment vertical="center"/>
    </xf>
    <xf numFmtId="3" fontId="71" fillId="0" borderId="33" xfId="0" applyNumberFormat="1" applyFont="1" applyBorder="1" applyAlignment="1">
      <alignment vertical="center"/>
    </xf>
    <xf numFmtId="9" fontId="71" fillId="0" borderId="50" xfId="0" applyNumberFormat="1" applyFont="1" applyBorder="1" applyAlignment="1">
      <alignment vertical="center"/>
    </xf>
    <xf numFmtId="0" fontId="71" fillId="0" borderId="38" xfId="0" applyFont="1" applyBorder="1" applyAlignment="1">
      <alignment vertical="center"/>
    </xf>
    <xf numFmtId="3" fontId="71" fillId="0" borderId="32" xfId="0" applyNumberFormat="1" applyFont="1" applyBorder="1" applyAlignment="1">
      <alignment vertical="center"/>
    </xf>
    <xf numFmtId="0" fontId="71" fillId="0" borderId="51" xfId="0" applyFont="1" applyBorder="1" applyAlignment="1">
      <alignment vertical="center"/>
    </xf>
    <xf numFmtId="10" fontId="71" fillId="0" borderId="36" xfId="0" applyNumberFormat="1" applyFont="1" applyBorder="1" applyAlignment="1">
      <alignment vertical="center"/>
    </xf>
    <xf numFmtId="10" fontId="71" fillId="0" borderId="42" xfId="0" applyNumberFormat="1" applyFont="1" applyBorder="1" applyAlignment="1">
      <alignment vertical="center"/>
    </xf>
    <xf numFmtId="10" fontId="71" fillId="0" borderId="42" xfId="67" applyNumberFormat="1" applyFont="1" applyBorder="1" applyAlignment="1">
      <alignment vertical="center"/>
    </xf>
    <xf numFmtId="10" fontId="41" fillId="0" borderId="42" xfId="0" applyNumberFormat="1" applyFont="1" applyBorder="1" applyAlignment="1">
      <alignment vertical="center"/>
    </xf>
    <xf numFmtId="0" fontId="71" fillId="0" borderId="52" xfId="0" applyFont="1" applyBorder="1" applyAlignment="1">
      <alignment vertical="center"/>
    </xf>
    <xf numFmtId="0" fontId="84" fillId="0" borderId="0" xfId="0" applyFont="1" applyAlignment="1">
      <alignment vertical="center"/>
    </xf>
    <xf numFmtId="0" fontId="71" fillId="0" borderId="39" xfId="0" applyFont="1" applyBorder="1" applyAlignment="1">
      <alignment horizontal="left" vertical="center"/>
    </xf>
    <xf numFmtId="1" fontId="71" fillId="0" borderId="24" xfId="0" applyNumberFormat="1" applyFont="1" applyBorder="1" applyAlignment="1">
      <alignment horizontal="center" vertical="center"/>
    </xf>
    <xf numFmtId="1" fontId="71" fillId="0" borderId="53" xfId="0" applyNumberFormat="1" applyFont="1" applyBorder="1" applyAlignment="1">
      <alignment horizontal="center" vertical="center"/>
    </xf>
    <xf numFmtId="0" fontId="71" fillId="0" borderId="54" xfId="0" applyFont="1" applyBorder="1" applyAlignment="1">
      <alignment vertical="center"/>
    </xf>
    <xf numFmtId="10" fontId="71" fillId="0" borderId="48" xfId="67" applyNumberFormat="1" applyFont="1" applyBorder="1" applyAlignment="1">
      <alignment vertical="center"/>
    </xf>
    <xf numFmtId="10" fontId="71" fillId="0" borderId="48" xfId="0" applyNumberFormat="1" applyFont="1" applyBorder="1" applyAlignment="1">
      <alignment vertical="center"/>
    </xf>
    <xf numFmtId="0" fontId="71" fillId="0" borderId="40" xfId="0" applyFont="1" applyBorder="1" applyAlignment="1">
      <alignment vertical="center"/>
    </xf>
    <xf numFmtId="3" fontId="71" fillId="0" borderId="23" xfId="67" applyNumberFormat="1" applyFont="1" applyBorder="1" applyAlignment="1">
      <alignment vertical="center"/>
    </xf>
    <xf numFmtId="0" fontId="71" fillId="0" borderId="55" xfId="0" applyFont="1" applyBorder="1" applyAlignment="1">
      <alignment vertical="center"/>
    </xf>
    <xf numFmtId="0" fontId="71" fillId="0" borderId="56" xfId="0" applyFont="1" applyBorder="1" applyAlignment="1">
      <alignment vertical="center"/>
    </xf>
    <xf numFmtId="0" fontId="70" fillId="0" borderId="39" xfId="0" applyFont="1" applyBorder="1" applyAlignment="1">
      <alignment vertical="center"/>
    </xf>
    <xf numFmtId="3" fontId="71" fillId="0" borderId="48" xfId="0" applyNumberFormat="1" applyFont="1" applyBorder="1" applyAlignment="1">
      <alignment vertical="center"/>
    </xf>
    <xf numFmtId="3" fontId="71" fillId="0" borderId="57" xfId="0" applyNumberFormat="1" applyFont="1" applyBorder="1" applyAlignment="1">
      <alignment vertical="center"/>
    </xf>
    <xf numFmtId="3" fontId="71" fillId="0" borderId="23" xfId="0" applyNumberFormat="1" applyFont="1" applyBorder="1" applyAlignment="1">
      <alignment vertical="center"/>
    </xf>
    <xf numFmtId="3" fontId="71" fillId="0" borderId="58" xfId="0" applyNumberFormat="1" applyFont="1" applyBorder="1" applyAlignment="1">
      <alignment vertical="center"/>
    </xf>
    <xf numFmtId="3" fontId="84" fillId="0" borderId="0" xfId="0" applyNumberFormat="1" applyFont="1" applyAlignment="1">
      <alignment horizontal="center" vertical="center"/>
    </xf>
    <xf numFmtId="3" fontId="84" fillId="0" borderId="56" xfId="0" applyNumberFormat="1" applyFont="1" applyBorder="1" applyAlignment="1">
      <alignment horizontal="center" vertical="center"/>
    </xf>
    <xf numFmtId="174" fontId="41" fillId="0" borderId="48" xfId="0" applyNumberFormat="1" applyFont="1" applyBorder="1" applyAlignment="1">
      <alignment horizontal="center" vertical="center"/>
    </xf>
    <xf numFmtId="0" fontId="71" fillId="0" borderId="54" xfId="0" applyFont="1" applyBorder="1" applyAlignment="1">
      <alignment horizontal="left" vertical="center"/>
    </xf>
    <xf numFmtId="3" fontId="71" fillId="0" borderId="48" xfId="0" applyNumberFormat="1" applyFont="1" applyBorder="1" applyAlignment="1">
      <alignment horizontal="right" vertical="center"/>
    </xf>
    <xf numFmtId="165" fontId="71" fillId="0" borderId="48" xfId="0" applyNumberFormat="1" applyFont="1" applyBorder="1" applyAlignment="1">
      <alignment vertical="center"/>
    </xf>
    <xf numFmtId="0" fontId="70" fillId="0" borderId="54" xfId="0" applyFont="1" applyBorder="1" applyAlignment="1">
      <alignment horizontal="left" vertical="center"/>
    </xf>
    <xf numFmtId="174" fontId="80" fillId="0" borderId="48" xfId="0" applyNumberFormat="1" applyFont="1" applyBorder="1" applyAlignment="1">
      <alignment horizontal="center" vertical="center"/>
    </xf>
    <xf numFmtId="174" fontId="41" fillId="0" borderId="48" xfId="0" applyNumberFormat="1" applyFont="1" applyBorder="1" applyAlignment="1">
      <alignment horizontal="center"/>
    </xf>
    <xf numFmtId="174" fontId="71" fillId="0" borderId="48" xfId="0" applyNumberFormat="1" applyFont="1" applyBorder="1" applyAlignment="1">
      <alignment vertical="center"/>
    </xf>
    <xf numFmtId="0" fontId="70" fillId="0" borderId="40" xfId="0" applyFont="1" applyBorder="1" applyAlignment="1">
      <alignment horizontal="left" vertical="center"/>
    </xf>
    <xf numFmtId="174" fontId="80" fillId="0" borderId="23" xfId="0" applyNumberFormat="1" applyFont="1" applyBorder="1" applyAlignment="1">
      <alignment horizontal="center" vertical="center"/>
    </xf>
    <xf numFmtId="168" fontId="84" fillId="0" borderId="0" xfId="0" applyNumberFormat="1" applyFont="1" applyAlignment="1">
      <alignment horizontal="center" vertical="center"/>
    </xf>
    <xf numFmtId="0" fontId="70" fillId="0" borderId="54" xfId="0" applyFont="1" applyBorder="1" applyAlignment="1">
      <alignment vertical="center"/>
    </xf>
    <xf numFmtId="3" fontId="41" fillId="0" borderId="48" xfId="67" applyNumberFormat="1" applyFont="1" applyBorder="1" applyAlignment="1">
      <alignment vertical="center"/>
    </xf>
    <xf numFmtId="0" fontId="71" fillId="0" borderId="54" xfId="0" applyFont="1" applyBorder="1" applyAlignment="1">
      <alignment horizontal="left" vertical="center" wrapText="1"/>
    </xf>
    <xf numFmtId="175" fontId="41" fillId="0" borderId="48" xfId="0" applyNumberFormat="1" applyFont="1" applyBorder="1" applyAlignment="1">
      <alignment horizontal="center"/>
    </xf>
    <xf numFmtId="170" fontId="80" fillId="0" borderId="48" xfId="0" applyNumberFormat="1" applyFont="1" applyBorder="1" applyAlignment="1">
      <alignment horizontal="center" vertical="center"/>
    </xf>
    <xf numFmtId="164" fontId="80" fillId="0" borderId="48" xfId="0" applyNumberFormat="1" applyFont="1" applyBorder="1" applyAlignment="1">
      <alignment horizontal="center" vertical="center"/>
    </xf>
    <xf numFmtId="0" fontId="70" fillId="0" borderId="40" xfId="0" applyFont="1" applyBorder="1" applyAlignment="1">
      <alignment vertical="center"/>
    </xf>
    <xf numFmtId="164" fontId="80" fillId="0" borderId="23" xfId="0" applyNumberFormat="1" applyFont="1" applyBorder="1" applyAlignment="1">
      <alignment horizontal="center" vertical="center"/>
    </xf>
    <xf numFmtId="0" fontId="71" fillId="0" borderId="59" xfId="0" applyFont="1" applyBorder="1" applyAlignment="1">
      <alignment vertical="center"/>
    </xf>
    <xf numFmtId="171" fontId="71" fillId="0" borderId="0" xfId="0" applyNumberFormat="1" applyFont="1" applyAlignment="1">
      <alignment vertical="center"/>
    </xf>
    <xf numFmtId="0" fontId="71" fillId="27" borderId="0" xfId="0" applyFont="1" applyFill="1" applyAlignment="1">
      <alignment vertical="center"/>
    </xf>
    <xf numFmtId="3" fontId="71" fillId="0" borderId="48" xfId="0" applyNumberFormat="1" applyFont="1" applyBorder="1" applyAlignment="1">
      <alignment horizontal="center" vertical="center"/>
    </xf>
    <xf numFmtId="0" fontId="38" fillId="0" borderId="0" xfId="2" applyFont="1"/>
    <xf numFmtId="0" fontId="71" fillId="28" borderId="0" xfId="0" applyFont="1" applyFill="1" applyAlignment="1">
      <alignment vertical="center"/>
    </xf>
    <xf numFmtId="2" fontId="10" fillId="0" borderId="0" xfId="2" applyNumberFormat="1"/>
    <xf numFmtId="0" fontId="10" fillId="0" borderId="60" xfId="2" applyBorder="1" applyAlignment="1">
      <alignment horizontal="center" vertical="center" wrapText="1"/>
    </xf>
    <xf numFmtId="0" fontId="38" fillId="0" borderId="48" xfId="2" applyFont="1" applyBorder="1" applyAlignment="1">
      <alignment horizontal="center" vertical="center" wrapText="1"/>
    </xf>
    <xf numFmtId="173" fontId="10" fillId="0" borderId="48" xfId="2" applyNumberFormat="1" applyBorder="1" applyAlignment="1">
      <alignment horizontal="center" vertical="center" wrapText="1"/>
    </xf>
    <xf numFmtId="10" fontId="85" fillId="0" borderId="25" xfId="2" applyNumberFormat="1" applyFont="1" applyBorder="1" applyAlignment="1">
      <alignment horizontal="justify" vertical="top" wrapText="1"/>
    </xf>
    <xf numFmtId="4" fontId="85" fillId="0" borderId="25" xfId="2" applyNumberFormat="1" applyFont="1" applyBorder="1" applyAlignment="1">
      <alignment horizontal="justify" vertical="top" wrapText="1"/>
    </xf>
    <xf numFmtId="172" fontId="85" fillId="24" borderId="25" xfId="2" applyNumberFormat="1" applyFont="1" applyFill="1" applyBorder="1" applyAlignment="1">
      <alignment horizontal="justify" vertical="top" wrapText="1"/>
    </xf>
    <xf numFmtId="172" fontId="85" fillId="0" borderId="25" xfId="2" applyNumberFormat="1" applyFont="1" applyBorder="1" applyAlignment="1">
      <alignment horizontal="justify" vertical="top" wrapText="1"/>
    </xf>
    <xf numFmtId="0" fontId="85" fillId="0" borderId="30" xfId="2" quotePrefix="1" applyFont="1" applyBorder="1" applyAlignment="1">
      <alignment horizontal="justify" vertical="top" wrapText="1"/>
    </xf>
    <xf numFmtId="10" fontId="85" fillId="0" borderId="31" xfId="2" applyNumberFormat="1" applyFont="1" applyBorder="1" applyAlignment="1">
      <alignment horizontal="justify" vertical="top"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8"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7" fillId="0" borderId="0" xfId="1" applyFont="1" applyAlignment="1">
      <alignment horizontal="center" vertical="center"/>
    </xf>
    <xf numFmtId="0" fontId="4" fillId="0" borderId="0" xfId="1" applyFont="1" applyAlignment="1">
      <alignment horizontal="center" vertical="center" wrapText="1"/>
    </xf>
    <xf numFmtId="0" fontId="52" fillId="0" borderId="0" xfId="1" applyFont="1" applyAlignment="1">
      <alignment horizontal="center" vertical="center"/>
    </xf>
    <xf numFmtId="0" fontId="38" fillId="0" borderId="1" xfId="1" applyFont="1" applyBorder="1" applyAlignment="1">
      <alignment horizontal="center" vertical="center" wrapText="1"/>
    </xf>
    <xf numFmtId="0" fontId="44" fillId="0" borderId="0" xfId="1" applyFont="1" applyAlignment="1">
      <alignment horizontal="center" vertical="center"/>
    </xf>
    <xf numFmtId="0" fontId="38" fillId="0" borderId="10" xfId="1" applyFont="1" applyBorder="1" applyAlignment="1">
      <alignment horizontal="center" vertical="center" wrapText="1"/>
    </xf>
    <xf numFmtId="0" fontId="38" fillId="0" borderId="2" xfId="1" applyFont="1" applyBorder="1" applyAlignment="1">
      <alignment horizontal="center" vertical="center" wrapText="1"/>
    </xf>
    <xf numFmtId="0" fontId="44" fillId="0" borderId="1" xfId="1" applyFont="1" applyBorder="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8" fillId="0" borderId="9" xfId="62" applyFont="1" applyBorder="1" applyAlignment="1">
      <alignment horizontal="center" vertical="center" wrapText="1"/>
    </xf>
    <xf numFmtId="0" fontId="38" fillId="0" borderId="8" xfId="62" applyFont="1" applyBorder="1" applyAlignment="1">
      <alignment horizontal="center" vertical="center" wrapText="1"/>
    </xf>
    <xf numFmtId="0" fontId="38" fillId="0" borderId="22" xfId="62" applyFont="1" applyBorder="1" applyAlignment="1">
      <alignment horizontal="center" vertical="center" wrapText="1"/>
    </xf>
    <xf numFmtId="0" fontId="38" fillId="0" borderId="21" xfId="62" applyFont="1" applyBorder="1" applyAlignment="1">
      <alignment horizontal="center" vertical="center" wrapText="1"/>
    </xf>
    <xf numFmtId="0" fontId="38" fillId="0" borderId="10" xfId="62" applyFont="1" applyBorder="1" applyAlignment="1">
      <alignment horizontal="center" vertical="center" wrapText="1"/>
    </xf>
    <xf numFmtId="0" fontId="38" fillId="0" borderId="2" xfId="62" applyFont="1" applyBorder="1" applyAlignment="1">
      <alignment horizontal="center" vertical="center" wrapText="1"/>
    </xf>
    <xf numFmtId="0" fontId="38" fillId="0" borderId="6" xfId="62" applyFont="1" applyBorder="1" applyAlignment="1">
      <alignment horizontal="center" vertical="center" wrapText="1"/>
    </xf>
    <xf numFmtId="0" fontId="38" fillId="0" borderId="10" xfId="62" applyFont="1" applyBorder="1" applyAlignment="1">
      <alignment horizontal="center" vertical="center"/>
    </xf>
    <xf numFmtId="0" fontId="38" fillId="0" borderId="6" xfId="62" applyFont="1" applyBorder="1" applyAlignment="1">
      <alignment horizontal="center" vertical="center"/>
    </xf>
    <xf numFmtId="0" fontId="38" fillId="0" borderId="2" xfId="62" applyFont="1" applyBorder="1" applyAlignment="1">
      <alignment horizontal="center" vertical="center"/>
    </xf>
    <xf numFmtId="0" fontId="38" fillId="0" borderId="4" xfId="62" applyFont="1" applyBorder="1" applyAlignment="1">
      <alignment horizontal="center" vertical="center" wrapText="1"/>
    </xf>
    <xf numFmtId="0" fontId="38" fillId="0" borderId="3" xfId="62" applyFont="1" applyBorder="1" applyAlignment="1">
      <alignment horizontal="center" vertical="center" wrapText="1"/>
    </xf>
    <xf numFmtId="0" fontId="38"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6" fillId="0" borderId="0" xfId="49" applyFont="1" applyAlignment="1">
      <alignment horizontal="center"/>
    </xf>
    <xf numFmtId="0" fontId="37"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5" fillId="0" borderId="1" xfId="1" applyFont="1" applyBorder="1" applyAlignment="1">
      <alignment horizontal="center" vertical="center" wrapText="1"/>
    </xf>
    <xf numFmtId="0" fontId="35" fillId="0" borderId="4" xfId="1" applyFont="1" applyBorder="1" applyAlignment="1">
      <alignment horizontal="center" vertical="center" wrapText="1"/>
    </xf>
    <xf numFmtId="0" fontId="35" fillId="0" borderId="7" xfId="1" applyFont="1" applyBorder="1" applyAlignment="1">
      <alignment horizontal="center" vertical="center" wrapText="1"/>
    </xf>
    <xf numFmtId="0" fontId="35" fillId="0" borderId="3" xfId="1" applyFont="1" applyBorder="1" applyAlignment="1">
      <alignment horizontal="center" vertical="center" wrapText="1"/>
    </xf>
    <xf numFmtId="0" fontId="44" fillId="0" borderId="0" xfId="1" applyFont="1" applyAlignment="1">
      <alignment horizontal="center" vertical="center" wrapText="1"/>
    </xf>
    <xf numFmtId="0" fontId="41" fillId="0" borderId="0" xfId="0" applyFont="1" applyAlignment="1">
      <alignment horizontal="center" vertical="center"/>
    </xf>
    <xf numFmtId="0" fontId="80" fillId="0" borderId="0" xfId="0" applyFont="1" applyAlignment="1">
      <alignment horizontal="center" vertical="center"/>
    </xf>
    <xf numFmtId="0" fontId="81" fillId="0" borderId="0" xfId="0" applyFont="1" applyAlignment="1">
      <alignment horizontal="center" vertical="center"/>
    </xf>
    <xf numFmtId="0" fontId="71" fillId="0" borderId="45" xfId="0" applyFont="1" applyBorder="1" applyAlignment="1">
      <alignment horizontal="center" vertical="center"/>
    </xf>
    <xf numFmtId="0" fontId="71" fillId="0" borderId="46" xfId="0" applyFont="1" applyBorder="1" applyAlignment="1">
      <alignment horizontal="center" vertical="center"/>
    </xf>
    <xf numFmtId="0" fontId="71" fillId="0" borderId="47" xfId="0" applyFont="1" applyBorder="1" applyAlignment="1">
      <alignment horizontal="center" vertical="center"/>
    </xf>
    <xf numFmtId="0" fontId="71" fillId="0" borderId="0" xfId="0" applyFont="1" applyAlignment="1">
      <alignment horizontal="left" vertical="center" wrapText="1"/>
    </xf>
    <xf numFmtId="0" fontId="81" fillId="0" borderId="0" xfId="0" applyFont="1" applyAlignment="1">
      <alignment horizontal="center" vertical="center" wrapText="1"/>
    </xf>
    <xf numFmtId="0" fontId="71" fillId="0" borderId="0" xfId="0" applyFont="1" applyAlignment="1">
      <alignment horizontal="center" vertical="center"/>
    </xf>
    <xf numFmtId="0" fontId="82" fillId="0" borderId="0" xfId="0" applyFont="1" applyAlignment="1">
      <alignment horizontal="center" vertical="center"/>
    </xf>
    <xf numFmtId="0" fontId="38" fillId="0" borderId="1" xfId="2" applyFont="1" applyBorder="1" applyAlignment="1">
      <alignment horizontal="center" vertical="center" wrapText="1" shrinkToFit="1"/>
    </xf>
    <xf numFmtId="0" fontId="38" fillId="0" borderId="10" xfId="2" applyFont="1" applyBorder="1" applyAlignment="1">
      <alignment horizontal="center" vertical="center" wrapText="1" shrinkToFit="1"/>
    </xf>
    <xf numFmtId="0" fontId="38" fillId="0" borderId="6" xfId="2" applyFont="1" applyBorder="1" applyAlignment="1">
      <alignment horizontal="center" vertical="center" wrapText="1" shrinkToFit="1"/>
    </xf>
    <xf numFmtId="0" fontId="38" fillId="0" borderId="2" xfId="2" applyFont="1" applyBorder="1" applyAlignment="1">
      <alignment horizontal="center" vertical="center" wrapText="1" shrinkToFit="1"/>
    </xf>
    <xf numFmtId="0" fontId="38" fillId="0" borderId="1" xfId="2" applyFont="1" applyBorder="1" applyAlignment="1">
      <alignment horizontal="center" vertical="center" wrapText="1"/>
    </xf>
    <xf numFmtId="0" fontId="38"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8" fillId="0" borderId="10" xfId="2" applyFont="1" applyBorder="1" applyAlignment="1">
      <alignment horizontal="center" vertical="center" wrapText="1"/>
    </xf>
    <xf numFmtId="0" fontId="38" fillId="0" borderId="6" xfId="2" applyFont="1" applyBorder="1" applyAlignment="1">
      <alignment horizontal="center" vertical="center" wrapText="1"/>
    </xf>
    <xf numFmtId="0" fontId="38" fillId="0" borderId="2" xfId="2" applyFont="1" applyBorder="1" applyAlignment="1">
      <alignment horizontal="center" vertical="center" wrapText="1"/>
    </xf>
    <xf numFmtId="0" fontId="38" fillId="0" borderId="4" xfId="52" applyFont="1" applyBorder="1" applyAlignment="1">
      <alignment horizontal="center" vertical="center"/>
    </xf>
    <xf numFmtId="0" fontId="38"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8" fillId="0" borderId="1" xfId="2" applyFont="1" applyBorder="1" applyAlignment="1">
      <alignment horizontal="center" vertical="center"/>
    </xf>
    <xf numFmtId="0" fontId="38" fillId="0" borderId="0" xfId="2" applyFont="1" applyAlignment="1">
      <alignment horizontal="center"/>
    </xf>
    <xf numFmtId="0" fontId="38" fillId="0" borderId="1" xfId="52" applyFont="1" applyBorder="1" applyAlignment="1">
      <alignment horizontal="center" vertical="center" wrapText="1"/>
    </xf>
    <xf numFmtId="0" fontId="38" fillId="0" borderId="61" xfId="2" applyFont="1" applyBorder="1" applyAlignment="1">
      <alignment horizontal="center" vertical="center"/>
    </xf>
    <xf numFmtId="0" fontId="38" fillId="0" borderId="62" xfId="2" applyFont="1" applyBorder="1" applyAlignment="1">
      <alignment horizontal="center" vertical="center"/>
    </xf>
    <xf numFmtId="0" fontId="38" fillId="0" borderId="5" xfId="2" applyFont="1" applyBorder="1" applyAlignment="1">
      <alignment horizontal="center" vertical="center"/>
    </xf>
    <xf numFmtId="0" fontId="38" fillId="0" borderId="63" xfId="2" applyFont="1" applyBorder="1" applyAlignment="1">
      <alignment horizontal="center" vertical="center"/>
    </xf>
    <xf numFmtId="0" fontId="38" fillId="0" borderId="3" xfId="52" applyFont="1" applyBorder="1" applyAlignment="1">
      <alignment horizontal="center" vertical="center"/>
    </xf>
    <xf numFmtId="0" fontId="38" fillId="0" borderId="1" xfId="49" applyFont="1" applyBorder="1" applyAlignment="1">
      <alignment horizontal="center" vertical="center" wrapText="1"/>
    </xf>
    <xf numFmtId="0" fontId="38" fillId="0" borderId="10" xfId="45" applyFont="1" applyBorder="1" applyAlignment="1">
      <alignment horizontal="center" vertical="center" textRotation="90" wrapText="1"/>
    </xf>
    <xf numFmtId="0" fontId="38" fillId="0" borderId="2" xfId="45" applyFont="1" applyBorder="1" applyAlignment="1">
      <alignment horizontal="center" vertical="center" textRotation="90" wrapText="1"/>
    </xf>
    <xf numFmtId="0" fontId="38" fillId="0" borderId="10" xfId="2" applyFont="1" applyBorder="1" applyAlignment="1">
      <alignment horizontal="center" vertical="center" textRotation="90" wrapText="1"/>
    </xf>
    <xf numFmtId="0" fontId="38" fillId="0" borderId="2" xfId="2" applyFont="1" applyBorder="1" applyAlignment="1">
      <alignment horizontal="center" vertical="center" textRotation="90" wrapText="1"/>
    </xf>
    <xf numFmtId="0" fontId="38" fillId="0" borderId="10" xfId="49" applyFont="1" applyBorder="1" applyAlignment="1">
      <alignment horizontal="center" vertical="center" wrapText="1"/>
    </xf>
    <xf numFmtId="0" fontId="38" fillId="0" borderId="2" xfId="49" applyFont="1" applyBorder="1" applyAlignment="1">
      <alignment horizontal="center" vertical="center" wrapText="1"/>
    </xf>
    <xf numFmtId="0" fontId="38"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7" fillId="0" borderId="1" xfId="49" applyFont="1" applyBorder="1" applyAlignment="1">
      <alignment horizontal="center" vertical="center" wrapText="1"/>
    </xf>
    <xf numFmtId="0" fontId="38" fillId="0" borderId="10" xfId="49" applyFont="1" applyBorder="1" applyAlignment="1">
      <alignment horizontal="center" vertical="center" textRotation="90" wrapText="1"/>
    </xf>
    <xf numFmtId="0" fontId="38" fillId="0" borderId="2" xfId="49" applyFont="1" applyBorder="1" applyAlignment="1">
      <alignment horizontal="center" vertical="center" textRotation="90" wrapText="1"/>
    </xf>
    <xf numFmtId="0" fontId="38" fillId="0" borderId="10" xfId="49" applyFont="1" applyBorder="1" applyAlignment="1">
      <alignment horizontal="center" vertical="center"/>
    </xf>
    <xf numFmtId="0" fontId="38" fillId="0" borderId="2" xfId="49" applyFont="1" applyBorder="1" applyAlignment="1">
      <alignment horizontal="center" vertical="center"/>
    </xf>
    <xf numFmtId="0" fontId="37" fillId="0" borderId="20" xfId="49" applyFont="1" applyBorder="1" applyAlignment="1">
      <alignment horizontal="center"/>
    </xf>
    <xf numFmtId="1" fontId="38" fillId="0" borderId="10" xfId="49" applyNumberFormat="1" applyFont="1" applyBorder="1" applyAlignment="1">
      <alignment horizontal="center" vertical="center" wrapText="1"/>
    </xf>
    <xf numFmtId="1" fontId="38" fillId="0" borderId="6" xfId="49" applyNumberFormat="1" applyFont="1" applyBorder="1" applyAlignment="1">
      <alignment horizontal="center" vertical="center" wrapText="1"/>
    </xf>
    <xf numFmtId="1" fontId="38" fillId="0" borderId="2" xfId="49" applyNumberFormat="1" applyFont="1" applyBorder="1" applyAlignment="1">
      <alignment horizontal="center" vertical="center" wrapText="1"/>
    </xf>
    <xf numFmtId="0" fontId="38" fillId="0" borderId="6" xfId="49" applyFont="1" applyBorder="1" applyAlignment="1">
      <alignment horizontal="center" vertical="center" wrapText="1"/>
    </xf>
    <xf numFmtId="0" fontId="38" fillId="0" borderId="9" xfId="49" applyFont="1" applyBorder="1" applyAlignment="1">
      <alignment horizontal="center" vertical="center" wrapText="1"/>
    </xf>
    <xf numFmtId="0" fontId="38" fillId="0" borderId="5" xfId="49" applyFont="1" applyBorder="1" applyAlignment="1">
      <alignment horizontal="center" vertical="center" wrapText="1"/>
    </xf>
    <xf numFmtId="0" fontId="38" fillId="0" borderId="22" xfId="49" applyFont="1" applyBorder="1" applyAlignment="1">
      <alignment horizontal="center" vertical="center" wrapText="1"/>
    </xf>
    <xf numFmtId="0" fontId="38" fillId="0" borderId="4" xfId="49" applyFont="1" applyBorder="1" applyAlignment="1">
      <alignment horizontal="center" vertical="center" wrapText="1"/>
    </xf>
    <xf numFmtId="0" fontId="38" fillId="0" borderId="7" xfId="49" applyFont="1" applyBorder="1" applyAlignment="1">
      <alignment horizontal="center" vertical="center" wrapText="1"/>
    </xf>
    <xf numFmtId="0" fontId="38" fillId="0" borderId="3" xfId="49" applyFont="1" applyBorder="1" applyAlignment="1">
      <alignment horizontal="center" vertical="center" wrapText="1"/>
    </xf>
    <xf numFmtId="0" fontId="37" fillId="0" borderId="0" xfId="2" applyFont="1" applyAlignment="1">
      <alignment horizontal="center" wrapText="1"/>
    </xf>
    <xf numFmtId="0" fontId="37" fillId="0" borderId="0" xfId="2" applyFont="1" applyAlignment="1">
      <alignment horizontal="center"/>
    </xf>
    <xf numFmtId="0" fontId="36" fillId="0" borderId="26" xfId="2" applyFont="1" applyBorder="1" applyAlignment="1">
      <alignment horizontal="left" vertical="top" wrapText="1"/>
    </xf>
    <xf numFmtId="0" fontId="36" fillId="0" borderId="29" xfId="2" applyFont="1" applyBorder="1" applyAlignment="1">
      <alignment horizontal="left" vertical="top" wrapText="1"/>
    </xf>
    <xf numFmtId="0" fontId="36" fillId="0" borderId="27" xfId="2" applyFont="1" applyBorder="1" applyAlignment="1">
      <alignment horizontal="left" vertical="top" wrapText="1"/>
    </xf>
    <xf numFmtId="0" fontId="44" fillId="0" borderId="0" xfId="2" applyFont="1" applyAlignment="1">
      <alignment horizontal="center"/>
    </xf>
  </cellXfs>
  <cellStyles count="12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Гиперссылка" xfId="128" builtinId="8"/>
    <cellStyle name="Заголовок 1 2" xfId="32" xr:uid="{00000000-0005-0000-0000-000035000000}"/>
    <cellStyle name="Заголовок 2 2" xfId="33" xr:uid="{00000000-0005-0000-0000-000036000000}"/>
    <cellStyle name="Заголовок 3 2" xfId="34" xr:uid="{00000000-0005-0000-0000-000037000000}"/>
    <cellStyle name="Заголовок 4 2" xfId="35" xr:uid="{00000000-0005-0000-0000-000038000000}"/>
    <cellStyle name="Итог 2" xfId="36" xr:uid="{00000000-0005-0000-0000-000039000000}"/>
    <cellStyle name="Итог 2 2" xfId="90" xr:uid="{00000000-0005-0000-0000-00003A000000}"/>
    <cellStyle name="Итог 2 2 2" xfId="111" xr:uid="{00000000-0005-0000-0000-00003B000000}"/>
    <cellStyle name="Итог 2 3" xfId="103" xr:uid="{00000000-0005-0000-0000-00003C000000}"/>
    <cellStyle name="Итог 2 4" xfId="115" xr:uid="{00000000-0005-0000-0000-00003D000000}"/>
    <cellStyle name="Итог 2 5" xfId="119" xr:uid="{00000000-0005-0000-0000-00003E000000}"/>
    <cellStyle name="Итог 2 6" xfId="101" xr:uid="{00000000-0005-0000-0000-00003F000000}"/>
    <cellStyle name="Итог 2 7" xfId="95" xr:uid="{00000000-0005-0000-0000-000040000000}"/>
    <cellStyle name="Итог 2 8" xfId="83" xr:uid="{00000000-0005-0000-0000-000041000000}"/>
    <cellStyle name="Контрольная ячейка 2" xfId="37" xr:uid="{00000000-0005-0000-0000-000042000000}"/>
    <cellStyle name="Название 2" xfId="38" xr:uid="{00000000-0005-0000-0000-000043000000}"/>
    <cellStyle name="Нейтральный 2" xfId="39" xr:uid="{00000000-0005-0000-0000-000044000000}"/>
    <cellStyle name="Обычный" xfId="0" builtinId="0"/>
    <cellStyle name="Обычный 12 2" xfId="40" xr:uid="{00000000-0005-0000-0000-000046000000}"/>
    <cellStyle name="Обычный 19" xfId="127" xr:uid="{00000000-0005-0000-0000-000047000000}"/>
    <cellStyle name="Обычный 2" xfId="3" xr:uid="{00000000-0005-0000-0000-000048000000}"/>
    <cellStyle name="Обычный 2 2" xfId="62" xr:uid="{00000000-0005-0000-0000-000049000000}"/>
    <cellStyle name="Обычный 2 2 2" xfId="75" xr:uid="{00000000-0005-0000-0000-00004A000000}"/>
    <cellStyle name="Обычный 2 3" xfId="69" xr:uid="{00000000-0005-0000-0000-00004B000000}"/>
    <cellStyle name="Обычный 2 3 2" xfId="122" xr:uid="{00000000-0005-0000-0000-00004C000000}"/>
    <cellStyle name="Обычный 2 3 3" xfId="76" xr:uid="{00000000-0005-0000-0000-00004D000000}"/>
    <cellStyle name="Обычный 2 4" xfId="86" xr:uid="{00000000-0005-0000-0000-00004E000000}"/>
    <cellStyle name="Обычный 2 5" xfId="97" xr:uid="{00000000-0005-0000-0000-00004F000000}"/>
    <cellStyle name="Обычный 2 6" xfId="79" xr:uid="{00000000-0005-0000-0000-000050000000}"/>
    <cellStyle name="Обычный 3" xfId="2" xr:uid="{00000000-0005-0000-0000-000051000000}"/>
    <cellStyle name="Обычный 3 2" xfId="41" xr:uid="{00000000-0005-0000-0000-000052000000}"/>
    <cellStyle name="Обычный 3 2 2 2" xfId="42" xr:uid="{00000000-0005-0000-0000-000053000000}"/>
    <cellStyle name="Обычный 3 21" xfId="63" xr:uid="{00000000-0005-0000-0000-000054000000}"/>
    <cellStyle name="Обычный 4" xfId="43" xr:uid="{00000000-0005-0000-0000-000055000000}"/>
    <cellStyle name="Обычный 4 2" xfId="44" xr:uid="{00000000-0005-0000-0000-000056000000}"/>
    <cellStyle name="Обычный 4 3" xfId="73" xr:uid="{00000000-0005-0000-0000-000057000000}"/>
    <cellStyle name="Обычный 5" xfId="45" xr:uid="{00000000-0005-0000-0000-000058000000}"/>
    <cellStyle name="Обычный 6" xfId="46" xr:uid="{00000000-0005-0000-0000-000059000000}"/>
    <cellStyle name="Обычный 6 2" xfId="47" xr:uid="{00000000-0005-0000-0000-00005A000000}"/>
    <cellStyle name="Обычный 6 2 2" xfId="48" xr:uid="{00000000-0005-0000-0000-00005B000000}"/>
    <cellStyle name="Обычный 6 2 3" xfId="49" xr:uid="{00000000-0005-0000-0000-00005C000000}"/>
    <cellStyle name="Обычный 7" xfId="1" xr:uid="{00000000-0005-0000-0000-00005D000000}"/>
    <cellStyle name="Обычный 7 2" xfId="50" xr:uid="{00000000-0005-0000-0000-00005E000000}"/>
    <cellStyle name="Обычный 8" xfId="51" xr:uid="{00000000-0005-0000-0000-00005F000000}"/>
    <cellStyle name="Обычный_Форматы по компаниям от 12.03" xfId="67" xr:uid="{00000000-0005-0000-0000-000060000000}"/>
    <cellStyle name="Обычный_Форматы по компаниям_last" xfId="52" xr:uid="{00000000-0005-0000-0000-000061000000}"/>
    <cellStyle name="Плохой 2" xfId="53" xr:uid="{00000000-0005-0000-0000-000062000000}"/>
    <cellStyle name="Пояснение 2" xfId="54" xr:uid="{00000000-0005-0000-0000-000063000000}"/>
    <cellStyle name="Примечание 2" xfId="55" xr:uid="{00000000-0005-0000-0000-000064000000}"/>
    <cellStyle name="Примечание 2 2" xfId="91" xr:uid="{00000000-0005-0000-0000-000065000000}"/>
    <cellStyle name="Примечание 2 2 2" xfId="114" xr:uid="{00000000-0005-0000-0000-000066000000}"/>
    <cellStyle name="Примечание 2 3" xfId="120" xr:uid="{00000000-0005-0000-0000-000067000000}"/>
    <cellStyle name="Примечание 2 4" xfId="102" xr:uid="{00000000-0005-0000-0000-000068000000}"/>
    <cellStyle name="Примечание 2 5" xfId="96" xr:uid="{00000000-0005-0000-0000-000069000000}"/>
    <cellStyle name="Примечание 2 6" xfId="84" xr:uid="{00000000-0005-0000-0000-00006A000000}"/>
    <cellStyle name="Процентный" xfId="68" builtinId="5"/>
    <cellStyle name="Процентный 2" xfId="64" xr:uid="{00000000-0005-0000-0000-00006C000000}"/>
    <cellStyle name="Процентный 2 2" xfId="77" xr:uid="{00000000-0005-0000-0000-00006D000000}"/>
    <cellStyle name="Процентный 3" xfId="65" xr:uid="{00000000-0005-0000-0000-00006E000000}"/>
    <cellStyle name="Процентный 4" xfId="71" xr:uid="{00000000-0005-0000-0000-00006F000000}"/>
    <cellStyle name="Процентный 4 2" xfId="121" xr:uid="{00000000-0005-0000-0000-000070000000}"/>
    <cellStyle name="Процентный 4 3" xfId="72" xr:uid="{00000000-0005-0000-0000-000071000000}"/>
    <cellStyle name="Связанная ячейка 2" xfId="56" xr:uid="{00000000-0005-0000-0000-000072000000}"/>
    <cellStyle name="Стиль 1" xfId="66" xr:uid="{00000000-0005-0000-0000-000073000000}"/>
    <cellStyle name="Текст предупреждения 2" xfId="57" xr:uid="{00000000-0005-0000-0000-000074000000}"/>
    <cellStyle name="Финансовый 2" xfId="58" xr:uid="{00000000-0005-0000-0000-000075000000}"/>
    <cellStyle name="Финансовый 2 2" xfId="70" xr:uid="{00000000-0005-0000-0000-000076000000}"/>
    <cellStyle name="Финансовый 2 2 2" xfId="124" xr:uid="{00000000-0005-0000-0000-000077000000}"/>
    <cellStyle name="Финансовый 2 2 2 2 2" xfId="59" xr:uid="{00000000-0005-0000-0000-000078000000}"/>
    <cellStyle name="Финансовый 2 3" xfId="123" xr:uid="{00000000-0005-0000-0000-000079000000}"/>
    <cellStyle name="Финансовый 2 4" xfId="78" xr:uid="{00000000-0005-0000-0000-00007A000000}"/>
    <cellStyle name="Финансовый 3" xfId="60" xr:uid="{00000000-0005-0000-0000-00007B000000}"/>
    <cellStyle name="Финансовый 3 2" xfId="74" xr:uid="{00000000-0005-0000-0000-00007C000000}"/>
    <cellStyle name="Финансовый 3 2 2" xfId="125" xr:uid="{00000000-0005-0000-0000-00007D000000}"/>
    <cellStyle name="Финансовый 4" xfId="85" xr:uid="{00000000-0005-0000-0000-00007E000000}"/>
    <cellStyle name="Финансовый 5" xfId="126" xr:uid="{00000000-0005-0000-0000-00007F000000}"/>
    <cellStyle name="Хороший 2" xfId="61" xr:uid="{00000000-0005-0000-0000-000080000000}"/>
  </cellStyles>
  <dxfs count="9">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 эфф'!$A$86</c:f>
              <c:strCache>
                <c:ptCount val="1"/>
                <c:pt idx="0">
                  <c:v>PV</c:v>
                </c:pt>
              </c:strCache>
            </c:strRef>
          </c:tx>
          <c:marker>
            <c:symbol val="none"/>
          </c:marker>
          <c:val>
            <c:numRef>
              <c:f>'5 анализ эк эфф'!$B$86:$K$86</c:f>
              <c:numCache>
                <c:formatCode>_-* #\ ##0\ _₽_-;\-* #\ ##0\ _₽_-;_-* "-"??\ _₽_-;_-@_-</c:formatCode>
                <c:ptCount val="10"/>
                <c:pt idx="0">
                  <c:v>-22793663.311467763</c:v>
                </c:pt>
                <c:pt idx="1">
                  <c:v>-6554755.1547466423</c:v>
                </c:pt>
                <c:pt idx="2">
                  <c:v>-314439.90707289195</c:v>
                </c:pt>
                <c:pt idx="3">
                  <c:v>-252997.62638048775</c:v>
                </c:pt>
                <c:pt idx="4">
                  <c:v>-203301.66405574908</c:v>
                </c:pt>
                <c:pt idx="5">
                  <c:v>-163143.31066202096</c:v>
                </c:pt>
                <c:pt idx="6">
                  <c:v>-130723.80662020907</c:v>
                </c:pt>
                <c:pt idx="7">
                  <c:v>-111709.43474817861</c:v>
                </c:pt>
                <c:pt idx="8">
                  <c:v>-83517.987562911381</c:v>
                </c:pt>
                <c:pt idx="9">
                  <c:v>-244832.04522724339</c:v>
                </c:pt>
              </c:numCache>
            </c:numRef>
          </c:val>
          <c:smooth val="0"/>
          <c:extLst>
            <c:ext xmlns:c16="http://schemas.microsoft.com/office/drawing/2014/chart" uri="{C3380CC4-5D6E-409C-BE32-E72D297353CC}">
              <c16:uniqueId val="{00000000-C76A-4F03-A7B4-1093FB3E0350}"/>
            </c:ext>
          </c:extLst>
        </c:ser>
        <c:ser>
          <c:idx val="1"/>
          <c:order val="1"/>
          <c:tx>
            <c:strRef>
              <c:f>'5 анализ эк эфф'!$A$87</c:f>
              <c:strCache>
                <c:ptCount val="1"/>
                <c:pt idx="0">
                  <c:v>NPV (без учета продажи)</c:v>
                </c:pt>
              </c:strCache>
            </c:strRef>
          </c:tx>
          <c:marker>
            <c:symbol val="none"/>
          </c:marker>
          <c:val>
            <c:numRef>
              <c:f>'5 анализ эк эфф'!$B$87:$K$87</c:f>
              <c:numCache>
                <c:formatCode>_-* #.##0\ _₽_-;\-* #.##0\ _₽_-;_-* "-"??\ _₽_-;_-@_-</c:formatCode>
                <c:ptCount val="10"/>
                <c:pt idx="0">
                  <c:v>-22793663.311467763</c:v>
                </c:pt>
                <c:pt idx="1">
                  <c:v>-29348418.466214404</c:v>
                </c:pt>
                <c:pt idx="2">
                  <c:v>-29662858.373287294</c:v>
                </c:pt>
                <c:pt idx="3">
                  <c:v>-29915855.999667782</c:v>
                </c:pt>
                <c:pt idx="4">
                  <c:v>-30119157.663723532</c:v>
                </c:pt>
                <c:pt idx="5">
                  <c:v>-30282300.974385552</c:v>
                </c:pt>
                <c:pt idx="6">
                  <c:v>-30413024.781005763</c:v>
                </c:pt>
                <c:pt idx="7">
                  <c:v>-30524734.215753943</c:v>
                </c:pt>
                <c:pt idx="8">
                  <c:v>-30608252.203316852</c:v>
                </c:pt>
                <c:pt idx="9">
                  <c:v>-30853084.248544097</c:v>
                </c:pt>
              </c:numCache>
            </c:numRef>
          </c:val>
          <c:smooth val="0"/>
          <c:extLst>
            <c:ext xmlns:c16="http://schemas.microsoft.com/office/drawing/2014/chart" uri="{C3380CC4-5D6E-409C-BE32-E72D297353CC}">
              <c16:uniqueId val="{00000000-92B1-41BB-96D3-416EB244BF2D}"/>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9393340857787809"/>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0</xdr:rowOff>
    </xdr:from>
    <xdr:to>
      <xdr:col>7</xdr:col>
      <xdr:colOff>824230</xdr:colOff>
      <xdr:row>44</xdr:row>
      <xdr:rowOff>116205</xdr:rowOff>
    </xdr:to>
    <xdr:graphicFrame macro="">
      <xdr:nvGraphicFramePr>
        <xdr:cNvPr id="2" name="Диаграмма 1">
          <a:extLst>
            <a:ext uri="{FF2B5EF4-FFF2-40B4-BE49-F238E27FC236}">
              <a16:creationId xmlns:a16="http://schemas.microsoft.com/office/drawing/2014/main" id="{1E6433CC-F8BE-491A-9985-E117643204F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1055;&#1086;&#1083;&#1100;&#1079;&#1086;&#1074;&#1072;&#1090;&#1077;&#1083;&#1100;\Desktop\2024_&#1047;&#1069;&#1050;\2024_&#1084;&#1072;&#1088;&#1090;\&#1092;&#1086;&#1088;&#1084;&#1099;%201-21%208%20&#1084;&#1072;&#1088;&#1090;&#1072;\&#1092;&#1086;&#1088;&#1084;&#1099;%201-21\I0510_1153926028850_04_0_39_0.xlsx" TargetMode="External"/><Relationship Id="rId1" Type="http://schemas.openxmlformats.org/officeDocument/2006/relationships/externalLinkPath" Target="/Users/&#1055;&#1086;&#1083;&#1100;&#1079;&#1086;&#1074;&#1072;&#1090;&#1077;&#1083;&#1100;/Desktop/2024_&#1047;&#1069;&#1050;/2024_&#1084;&#1072;&#1088;&#1090;/&#1092;&#1086;&#1088;&#1084;&#1099;%201-21%208%20&#1084;&#1072;&#1088;&#1090;&#1072;/&#1092;&#1086;&#1088;&#1084;&#1099;%201-21/I0510_1153926028850_04_0_39_0.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J%2019-09%20_&#1087;&#1072;&#1089;&#1087;&#1086;&#1088;&#1090;_%20&#1058;&#105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4"/>
    </sheetNames>
    <sheetDataSet>
      <sheetData sheetId="0">
        <row r="175">
          <cell r="D175"/>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5 анализ эк эфф"/>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8" zoomScaleSheetLayoutView="100" workbookViewId="0">
      <selection activeCell="C25" sqref="C25"/>
    </sheetView>
  </sheetViews>
  <sheetFormatPr defaultColWidth="9.140625" defaultRowHeight="15" x14ac:dyDescent="0.25"/>
  <cols>
    <col min="1" max="1" width="6.140625" style="1" customWidth="1"/>
    <col min="2" max="2" width="53.5703125" style="1" customWidth="1"/>
    <col min="3" max="3" width="85.140625" style="1" customWidth="1"/>
    <col min="4" max="4" width="13.140625"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297" t="s">
        <v>589</v>
      </c>
      <c r="B5" s="297"/>
      <c r="C5" s="297"/>
      <c r="D5" s="85"/>
      <c r="E5" s="85"/>
      <c r="F5" s="85"/>
      <c r="G5" s="85"/>
      <c r="H5" s="85"/>
      <c r="I5" s="85"/>
      <c r="J5" s="85"/>
    </row>
    <row r="6" spans="1:22" s="8" customFormat="1" ht="18.75" x14ac:dyDescent="0.3">
      <c r="A6" s="13"/>
      <c r="H6" s="12"/>
    </row>
    <row r="7" spans="1:22" s="8" customFormat="1" ht="18.75" x14ac:dyDescent="0.2">
      <c r="A7" s="301" t="s">
        <v>7</v>
      </c>
      <c r="B7" s="301"/>
      <c r="C7" s="30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04" t="s">
        <v>543</v>
      </c>
      <c r="B9" s="304"/>
      <c r="C9" s="304"/>
      <c r="D9" s="7"/>
      <c r="E9" s="7"/>
      <c r="F9" s="7"/>
      <c r="G9" s="7"/>
      <c r="H9" s="7"/>
      <c r="I9" s="10"/>
      <c r="J9" s="10"/>
      <c r="K9" s="10"/>
      <c r="L9" s="10"/>
      <c r="M9" s="10"/>
      <c r="N9" s="10"/>
      <c r="O9" s="10"/>
      <c r="P9" s="10"/>
      <c r="Q9" s="10"/>
      <c r="R9" s="10"/>
      <c r="S9" s="10"/>
      <c r="T9" s="10"/>
      <c r="U9" s="10"/>
      <c r="V9" s="10"/>
    </row>
    <row r="10" spans="1:22" s="8" customFormat="1" ht="18.75" x14ac:dyDescent="0.2">
      <c r="A10" s="298" t="s">
        <v>6</v>
      </c>
      <c r="B10" s="298"/>
      <c r="C10" s="29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02" t="s">
        <v>588</v>
      </c>
      <c r="B12" s="302"/>
      <c r="C12" s="302"/>
      <c r="D12" s="7"/>
      <c r="E12" s="7"/>
      <c r="F12" s="7"/>
      <c r="G12" s="7"/>
      <c r="H12" s="7"/>
      <c r="I12" s="10"/>
      <c r="J12" s="10"/>
      <c r="K12" s="10"/>
      <c r="L12" s="10"/>
      <c r="M12" s="10"/>
      <c r="N12" s="10"/>
      <c r="O12" s="10"/>
      <c r="P12" s="10"/>
      <c r="Q12" s="10"/>
      <c r="R12" s="10"/>
      <c r="S12" s="10"/>
      <c r="T12" s="10"/>
      <c r="U12" s="10"/>
      <c r="V12" s="10"/>
    </row>
    <row r="13" spans="1:22" s="8" customFormat="1" ht="18.75" x14ac:dyDescent="0.2">
      <c r="A13" s="298" t="s">
        <v>5</v>
      </c>
      <c r="B13" s="298"/>
      <c r="C13" s="29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7.25" customHeight="1" x14ac:dyDescent="0.2">
      <c r="A15" s="303" t="s">
        <v>606</v>
      </c>
      <c r="B15" s="303"/>
      <c r="C15" s="303"/>
      <c r="D15" s="7"/>
      <c r="E15" s="7"/>
      <c r="F15" s="7"/>
      <c r="G15" s="7"/>
      <c r="H15" s="7"/>
      <c r="I15" s="7"/>
      <c r="J15" s="7"/>
      <c r="K15" s="7"/>
      <c r="L15" s="7"/>
      <c r="M15" s="7"/>
      <c r="N15" s="7"/>
      <c r="O15" s="7"/>
      <c r="P15" s="7"/>
      <c r="Q15" s="7"/>
      <c r="R15" s="7"/>
      <c r="S15" s="7"/>
      <c r="T15" s="7"/>
      <c r="U15" s="7"/>
      <c r="V15" s="7"/>
    </row>
    <row r="16" spans="1:22" s="3" customFormat="1" ht="15" customHeight="1" x14ac:dyDescent="0.2">
      <c r="A16" s="298" t="s">
        <v>4</v>
      </c>
      <c r="B16" s="298"/>
      <c r="C16" s="29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9" t="s">
        <v>408</v>
      </c>
      <c r="B18" s="300"/>
      <c r="C18" s="30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190" t="s">
        <v>587</v>
      </c>
      <c r="D22" s="5"/>
      <c r="E22" s="5"/>
      <c r="F22" s="5"/>
      <c r="G22" s="5"/>
      <c r="H22" s="5"/>
      <c r="I22" s="4"/>
      <c r="J22" s="4"/>
      <c r="K22" s="4"/>
      <c r="L22" s="4"/>
      <c r="M22" s="4"/>
      <c r="N22" s="4"/>
      <c r="O22" s="4"/>
      <c r="P22" s="4"/>
      <c r="Q22" s="4"/>
      <c r="R22" s="4"/>
      <c r="S22" s="4"/>
    </row>
    <row r="23" spans="1:22" s="3" customFormat="1" ht="47.25" x14ac:dyDescent="0.2">
      <c r="A23" s="15" t="s">
        <v>61</v>
      </c>
      <c r="B23" s="18" t="s">
        <v>532</v>
      </c>
      <c r="C23" s="190" t="s">
        <v>561</v>
      </c>
      <c r="D23" s="5"/>
      <c r="E23" s="5"/>
      <c r="F23" s="5"/>
      <c r="G23" s="5"/>
      <c r="H23" s="5"/>
      <c r="I23" s="4"/>
      <c r="J23" s="4"/>
      <c r="K23" s="4"/>
      <c r="L23" s="4"/>
      <c r="M23" s="4"/>
      <c r="N23" s="4"/>
      <c r="O23" s="4"/>
      <c r="P23" s="4"/>
      <c r="Q23" s="4"/>
      <c r="R23" s="4"/>
      <c r="S23" s="4"/>
    </row>
    <row r="24" spans="1:22" s="3" customFormat="1" ht="22.5" customHeight="1" x14ac:dyDescent="0.2">
      <c r="A24" s="294"/>
      <c r="B24" s="295"/>
      <c r="C24" s="29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550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551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590</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434</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434</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434</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552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553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554</v>
      </c>
      <c r="D33" s="5"/>
      <c r="E33" s="5"/>
      <c r="F33" s="5"/>
      <c r="G33" s="5"/>
      <c r="H33" s="4"/>
      <c r="I33" s="4"/>
      <c r="J33" s="4"/>
      <c r="K33" s="4"/>
      <c r="L33" s="4"/>
      <c r="M33" s="4"/>
      <c r="N33" s="4"/>
      <c r="O33" s="4"/>
      <c r="P33" s="4"/>
      <c r="Q33" s="4"/>
      <c r="R33" s="4"/>
    </row>
    <row r="34" spans="1:18" ht="111" customHeight="1" x14ac:dyDescent="0.25">
      <c r="A34" s="15" t="s">
        <v>377</v>
      </c>
      <c r="B34" s="22" t="s">
        <v>364</v>
      </c>
      <c r="C34" s="16"/>
    </row>
    <row r="35" spans="1:18" ht="58.5" customHeight="1" x14ac:dyDescent="0.25">
      <c r="A35" s="15" t="s">
        <v>367</v>
      </c>
      <c r="B35" s="22" t="s">
        <v>69</v>
      </c>
      <c r="C35" s="16" t="s">
        <v>434</v>
      </c>
    </row>
    <row r="36" spans="1:18" ht="51.75" customHeight="1" x14ac:dyDescent="0.25">
      <c r="A36" s="15" t="s">
        <v>378</v>
      </c>
      <c r="B36" s="22" t="s">
        <v>365</v>
      </c>
      <c r="C36" s="16" t="s">
        <v>555</v>
      </c>
    </row>
    <row r="37" spans="1:18" ht="43.5" customHeight="1" x14ac:dyDescent="0.25">
      <c r="A37" s="15" t="s">
        <v>368</v>
      </c>
      <c r="B37" s="22" t="s">
        <v>366</v>
      </c>
      <c r="C37" s="16" t="s">
        <v>541</v>
      </c>
    </row>
    <row r="38" spans="1:18" ht="43.5" customHeight="1" x14ac:dyDescent="0.25">
      <c r="A38" s="15" t="s">
        <v>379</v>
      </c>
      <c r="B38" s="22" t="s">
        <v>209</v>
      </c>
      <c r="C38" s="16" t="s">
        <v>555</v>
      </c>
    </row>
    <row r="39" spans="1:18" ht="23.25" customHeight="1" x14ac:dyDescent="0.25">
      <c r="A39" s="294"/>
      <c r="B39" s="295"/>
      <c r="C39" s="296"/>
    </row>
    <row r="40" spans="1:18" ht="63" x14ac:dyDescent="0.25">
      <c r="A40" s="15" t="s">
        <v>369</v>
      </c>
      <c r="B40" s="22" t="s">
        <v>419</v>
      </c>
      <c r="C40" s="16" t="s">
        <v>569</v>
      </c>
    </row>
    <row r="41" spans="1:18" ht="108" customHeight="1" x14ac:dyDescent="0.25">
      <c r="A41" s="15" t="s">
        <v>380</v>
      </c>
      <c r="B41" s="22" t="s">
        <v>403</v>
      </c>
      <c r="C41" s="122" t="s">
        <v>536</v>
      </c>
    </row>
    <row r="42" spans="1:18" ht="69.75" customHeight="1" x14ac:dyDescent="0.25">
      <c r="A42" s="15" t="s">
        <v>370</v>
      </c>
      <c r="B42" s="22" t="s">
        <v>416</v>
      </c>
      <c r="C42" s="22" t="s">
        <v>536</v>
      </c>
    </row>
    <row r="43" spans="1:18" ht="186" customHeight="1" x14ac:dyDescent="0.25">
      <c r="A43" s="15" t="s">
        <v>383</v>
      </c>
      <c r="B43" s="22" t="s">
        <v>384</v>
      </c>
      <c r="C43" s="87" t="s">
        <v>539</v>
      </c>
    </row>
    <row r="44" spans="1:18" ht="111" customHeight="1" x14ac:dyDescent="0.25">
      <c r="A44" s="15" t="s">
        <v>371</v>
      </c>
      <c r="B44" s="22" t="s">
        <v>409</v>
      </c>
      <c r="C44" s="2" t="s">
        <v>541</v>
      </c>
    </row>
    <row r="45" spans="1:18" ht="81.75" customHeight="1" x14ac:dyDescent="0.25">
      <c r="A45" s="15" t="s">
        <v>404</v>
      </c>
      <c r="B45" s="22" t="s">
        <v>410</v>
      </c>
      <c r="C45" s="95" t="s">
        <v>536</v>
      </c>
    </row>
    <row r="46" spans="1:18" ht="101.25" customHeight="1" x14ac:dyDescent="0.25">
      <c r="A46" s="15" t="s">
        <v>372</v>
      </c>
      <c r="B46" s="22" t="s">
        <v>411</v>
      </c>
      <c r="C46" s="95" t="s">
        <v>536</v>
      </c>
    </row>
    <row r="47" spans="1:18" ht="18.75" customHeight="1" x14ac:dyDescent="0.25">
      <c r="A47" s="294"/>
      <c r="B47" s="295"/>
      <c r="C47" s="296"/>
    </row>
    <row r="48" spans="1:18" ht="75.75" hidden="1" customHeight="1" x14ac:dyDescent="0.25">
      <c r="A48" s="15" t="s">
        <v>405</v>
      </c>
      <c r="B48" s="22" t="s">
        <v>417</v>
      </c>
      <c r="C48" s="171" t="str">
        <f>CONCATENATE(ROUND('6.2. Паспорт фин осв ввод факт'!AB24,2)," млн.руб.")</f>
        <v>294,53 млн.руб.</v>
      </c>
      <c r="D48" s="1" t="s">
        <v>538</v>
      </c>
    </row>
    <row r="49" spans="1:4" ht="71.25" hidden="1" customHeight="1" x14ac:dyDescent="0.25">
      <c r="A49" s="15" t="s">
        <v>373</v>
      </c>
      <c r="B49" s="22" t="s">
        <v>418</v>
      </c>
      <c r="C49" s="171" t="str">
        <f>CONCATENATE(ROUND('6.2. Паспорт фин осв ввод факт'!AB30,2)," млн.руб.")</f>
        <v>249,6 млн.руб.</v>
      </c>
      <c r="D49" s="1" t="s">
        <v>538</v>
      </c>
    </row>
    <row r="50" spans="1:4" ht="75.75" customHeight="1" x14ac:dyDescent="0.25">
      <c r="A50" s="15" t="s">
        <v>405</v>
      </c>
      <c r="B50" s="22" t="s">
        <v>417</v>
      </c>
      <c r="C50" s="171" t="str">
        <f>CONCATENATE(ROUND('6.2. Паспорт фин осв ввод'!C24,2)," млн.руб.")</f>
        <v>27,99 млн.руб.</v>
      </c>
    </row>
    <row r="51" spans="1:4" ht="71.25" customHeight="1" x14ac:dyDescent="0.25">
      <c r="A51" s="15" t="s">
        <v>373</v>
      </c>
      <c r="B51" s="22" t="s">
        <v>418</v>
      </c>
      <c r="C51" s="171" t="str">
        <f>CONCATENATE(ROUND('6.2. Паспорт фин осв ввод'!C30,2)," млн.руб.")</f>
        <v>23,32 млн.руб.</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6" t="str">
        <f>'1. паспорт местоположение'!A5:C5</f>
        <v>Год раскрытия информации: 2024 год</v>
      </c>
      <c r="B4" s="366"/>
      <c r="C4" s="366"/>
      <c r="D4" s="366"/>
      <c r="E4" s="366"/>
      <c r="F4" s="366"/>
      <c r="G4" s="366"/>
      <c r="H4" s="366"/>
      <c r="I4" s="366"/>
      <c r="J4" s="366"/>
      <c r="K4" s="366"/>
      <c r="L4" s="366"/>
      <c r="M4" s="366"/>
      <c r="N4" s="366"/>
      <c r="O4" s="366"/>
      <c r="P4" s="366"/>
      <c r="Q4" s="366"/>
      <c r="R4" s="366"/>
      <c r="S4" s="366"/>
      <c r="T4" s="366"/>
      <c r="U4" s="366"/>
      <c r="V4" s="366"/>
      <c r="W4" s="366"/>
      <c r="X4" s="366"/>
      <c r="Y4" s="366"/>
      <c r="Z4" s="366"/>
      <c r="AA4" s="366"/>
      <c r="AB4" s="366"/>
      <c r="AC4" s="366"/>
    </row>
    <row r="5" spans="1:29" ht="18.75" x14ac:dyDescent="0.3">
      <c r="AC5" s="12"/>
    </row>
    <row r="6" spans="1:29" ht="18.75" x14ac:dyDescent="0.25">
      <c r="A6" s="301" t="s">
        <v>7</v>
      </c>
      <c r="B6" s="301"/>
      <c r="C6" s="301"/>
      <c r="D6" s="301"/>
      <c r="E6" s="301"/>
      <c r="F6" s="301"/>
      <c r="G6" s="301"/>
      <c r="H6" s="301"/>
      <c r="I6" s="301"/>
      <c r="J6" s="301"/>
      <c r="K6" s="301"/>
      <c r="L6" s="301"/>
      <c r="M6" s="301"/>
      <c r="N6" s="301"/>
      <c r="O6" s="301"/>
      <c r="P6" s="301"/>
      <c r="Q6" s="301"/>
      <c r="R6" s="301"/>
      <c r="S6" s="301"/>
      <c r="T6" s="301"/>
      <c r="U6" s="301"/>
      <c r="V6" s="301"/>
      <c r="W6" s="301"/>
      <c r="X6" s="301"/>
      <c r="Y6" s="301"/>
      <c r="Z6" s="301"/>
      <c r="AA6" s="301"/>
      <c r="AB6" s="301"/>
      <c r="AC6" s="30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367" t="str">
        <f>'1. паспорт местоположение'!A9:C9</f>
        <v xml:space="preserve">Акционерное общество "Западная энергетическая компания" </v>
      </c>
      <c r="B8" s="367"/>
      <c r="C8" s="367"/>
      <c r="D8" s="367"/>
      <c r="E8" s="367"/>
      <c r="F8" s="367"/>
      <c r="G8" s="367"/>
      <c r="H8" s="367"/>
      <c r="I8" s="367"/>
      <c r="J8" s="367"/>
      <c r="K8" s="367"/>
      <c r="L8" s="367"/>
      <c r="M8" s="367"/>
      <c r="N8" s="367"/>
      <c r="O8" s="367"/>
      <c r="P8" s="367"/>
      <c r="Q8" s="367"/>
      <c r="R8" s="367"/>
      <c r="S8" s="367"/>
      <c r="T8" s="367"/>
      <c r="U8" s="367"/>
      <c r="V8" s="367"/>
      <c r="W8" s="367"/>
      <c r="X8" s="367"/>
      <c r="Y8" s="367"/>
      <c r="Z8" s="367"/>
      <c r="AA8" s="367"/>
      <c r="AB8" s="367"/>
      <c r="AC8" s="367"/>
    </row>
    <row r="9" spans="1:29" ht="18.75" customHeight="1" x14ac:dyDescent="0.25">
      <c r="A9" s="298" t="s">
        <v>6</v>
      </c>
      <c r="B9" s="298"/>
      <c r="C9" s="298"/>
      <c r="D9" s="298"/>
      <c r="E9" s="298"/>
      <c r="F9" s="298"/>
      <c r="G9" s="298"/>
      <c r="H9" s="298"/>
      <c r="I9" s="298"/>
      <c r="J9" s="298"/>
      <c r="K9" s="298"/>
      <c r="L9" s="298"/>
      <c r="M9" s="298"/>
      <c r="N9" s="298"/>
      <c r="O9" s="298"/>
      <c r="P9" s="298"/>
      <c r="Q9" s="298"/>
      <c r="R9" s="298"/>
      <c r="S9" s="298"/>
      <c r="T9" s="298"/>
      <c r="U9" s="298"/>
      <c r="V9" s="298"/>
      <c r="W9" s="298"/>
      <c r="X9" s="298"/>
      <c r="Y9" s="298"/>
      <c r="Z9" s="298"/>
      <c r="AA9" s="298"/>
      <c r="AB9" s="298"/>
      <c r="AC9" s="29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367" t="str">
        <f>'1. паспорт местоположение'!A12:C12</f>
        <v>O 24-28</v>
      </c>
      <c r="B11" s="367"/>
      <c r="C11" s="367"/>
      <c r="D11" s="367"/>
      <c r="E11" s="367"/>
      <c r="F11" s="367"/>
      <c r="G11" s="367"/>
      <c r="H11" s="367"/>
      <c r="I11" s="367"/>
      <c r="J11" s="367"/>
      <c r="K11" s="367"/>
      <c r="L11" s="367"/>
      <c r="M11" s="367"/>
      <c r="N11" s="367"/>
      <c r="O11" s="367"/>
      <c r="P11" s="367"/>
      <c r="Q11" s="367"/>
      <c r="R11" s="367"/>
      <c r="S11" s="367"/>
      <c r="T11" s="367"/>
      <c r="U11" s="367"/>
      <c r="V11" s="367"/>
      <c r="W11" s="367"/>
      <c r="X11" s="367"/>
      <c r="Y11" s="367"/>
      <c r="Z11" s="367"/>
      <c r="AA11" s="367"/>
      <c r="AB11" s="367"/>
      <c r="AC11" s="367"/>
    </row>
    <row r="12" spans="1:29" x14ac:dyDescent="0.25">
      <c r="A12" s="298" t="s">
        <v>5</v>
      </c>
      <c r="B12" s="298"/>
      <c r="C12" s="298"/>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298"/>
      <c r="AB12" s="298"/>
      <c r="AC12" s="29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368"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4" s="368"/>
      <c r="C14" s="368"/>
      <c r="D14" s="368"/>
      <c r="E14" s="368"/>
      <c r="F14" s="368"/>
      <c r="G14" s="368"/>
      <c r="H14" s="368"/>
      <c r="I14" s="368"/>
      <c r="J14" s="368"/>
      <c r="K14" s="368"/>
      <c r="L14" s="368"/>
      <c r="M14" s="368"/>
      <c r="N14" s="368"/>
      <c r="O14" s="368"/>
      <c r="P14" s="368"/>
      <c r="Q14" s="368"/>
      <c r="R14" s="368"/>
      <c r="S14" s="368"/>
      <c r="T14" s="368"/>
      <c r="U14" s="368"/>
      <c r="V14" s="368"/>
      <c r="W14" s="368"/>
      <c r="X14" s="368"/>
      <c r="Y14" s="368"/>
      <c r="Z14" s="368"/>
      <c r="AA14" s="368"/>
      <c r="AB14" s="368"/>
      <c r="AC14" s="368"/>
    </row>
    <row r="15" spans="1:29" ht="15.75" customHeight="1" x14ac:dyDescent="0.25">
      <c r="A15" s="298" t="s">
        <v>4</v>
      </c>
      <c r="B15" s="29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298"/>
      <c r="AB15" s="298"/>
      <c r="AC15" s="298"/>
    </row>
    <row r="16" spans="1:29" x14ac:dyDescent="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row>
    <row r="18" spans="1:32" x14ac:dyDescent="0.25">
      <c r="A18" s="371" t="s">
        <v>393</v>
      </c>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row>
    <row r="20" spans="1:32" ht="33" customHeight="1" x14ac:dyDescent="0.25">
      <c r="A20" s="360" t="s">
        <v>183</v>
      </c>
      <c r="B20" s="360" t="s">
        <v>182</v>
      </c>
      <c r="C20" s="356" t="s">
        <v>181</v>
      </c>
      <c r="D20" s="356"/>
      <c r="E20" s="370" t="s">
        <v>180</v>
      </c>
      <c r="F20" s="370"/>
      <c r="G20" s="360" t="s">
        <v>422</v>
      </c>
      <c r="H20" s="363" t="s">
        <v>423</v>
      </c>
      <c r="I20" s="364"/>
      <c r="J20" s="364"/>
      <c r="K20" s="364"/>
      <c r="L20" s="363" t="s">
        <v>424</v>
      </c>
      <c r="M20" s="364"/>
      <c r="N20" s="364"/>
      <c r="O20" s="364"/>
      <c r="P20" s="363" t="s">
        <v>425</v>
      </c>
      <c r="Q20" s="364"/>
      <c r="R20" s="364"/>
      <c r="S20" s="364"/>
      <c r="T20" s="363" t="s">
        <v>437</v>
      </c>
      <c r="U20" s="364"/>
      <c r="V20" s="364"/>
      <c r="W20" s="364"/>
      <c r="X20" s="363" t="s">
        <v>438</v>
      </c>
      <c r="Y20" s="364"/>
      <c r="Z20" s="364"/>
      <c r="AA20" s="364"/>
      <c r="AB20" s="372" t="s">
        <v>179</v>
      </c>
      <c r="AC20" s="372"/>
      <c r="AD20" s="49"/>
      <c r="AE20" s="49"/>
      <c r="AF20" s="49"/>
    </row>
    <row r="21" spans="1:32" ht="99.75" customHeight="1" x14ac:dyDescent="0.25">
      <c r="A21" s="361"/>
      <c r="B21" s="361"/>
      <c r="C21" s="356"/>
      <c r="D21" s="356"/>
      <c r="E21" s="370"/>
      <c r="F21" s="370"/>
      <c r="G21" s="361"/>
      <c r="H21" s="356" t="s">
        <v>2</v>
      </c>
      <c r="I21" s="356"/>
      <c r="J21" s="356" t="s">
        <v>9</v>
      </c>
      <c r="K21" s="356"/>
      <c r="L21" s="356" t="s">
        <v>2</v>
      </c>
      <c r="M21" s="356"/>
      <c r="N21" s="356" t="s">
        <v>9</v>
      </c>
      <c r="O21" s="356"/>
      <c r="P21" s="356" t="s">
        <v>2</v>
      </c>
      <c r="Q21" s="356"/>
      <c r="R21" s="356" t="s">
        <v>178</v>
      </c>
      <c r="S21" s="356"/>
      <c r="T21" s="356" t="s">
        <v>2</v>
      </c>
      <c r="U21" s="356"/>
      <c r="V21" s="356" t="s">
        <v>178</v>
      </c>
      <c r="W21" s="356"/>
      <c r="X21" s="356" t="s">
        <v>2</v>
      </c>
      <c r="Y21" s="356"/>
      <c r="Z21" s="356" t="s">
        <v>178</v>
      </c>
      <c r="AA21" s="356"/>
      <c r="AB21" s="372"/>
      <c r="AC21" s="372"/>
    </row>
    <row r="22" spans="1:32" ht="89.25" customHeight="1" x14ac:dyDescent="0.25">
      <c r="A22" s="362"/>
      <c r="B22" s="362"/>
      <c r="C22" s="46" t="s">
        <v>2</v>
      </c>
      <c r="D22" s="46" t="s">
        <v>178</v>
      </c>
      <c r="E22" s="48" t="s">
        <v>436</v>
      </c>
      <c r="F22" s="48" t="s">
        <v>481</v>
      </c>
      <c r="G22" s="362"/>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528</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528</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528</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359"/>
      <c r="C66" s="359"/>
      <c r="D66" s="359"/>
      <c r="E66" s="359"/>
      <c r="F66" s="359"/>
      <c r="G66" s="359"/>
      <c r="H66" s="359"/>
      <c r="I66" s="359"/>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359"/>
      <c r="C68" s="359"/>
      <c r="D68" s="359"/>
      <c r="E68" s="359"/>
      <c r="F68" s="359"/>
      <c r="G68" s="359"/>
      <c r="H68" s="359"/>
      <c r="I68" s="359"/>
      <c r="J68" s="35"/>
      <c r="K68" s="35"/>
    </row>
    <row r="70" spans="1:28" ht="36.75" customHeight="1" x14ac:dyDescent="0.25">
      <c r="B70" s="359"/>
      <c r="C70" s="359"/>
      <c r="D70" s="359"/>
      <c r="E70" s="359"/>
      <c r="F70" s="359"/>
      <c r="G70" s="359"/>
      <c r="H70" s="359"/>
      <c r="I70" s="359"/>
      <c r="J70" s="35"/>
      <c r="K70" s="35"/>
    </row>
    <row r="71" spans="1:28" x14ac:dyDescent="0.25">
      <c r="N71" s="36"/>
      <c r="V71" s="36"/>
    </row>
    <row r="72" spans="1:28" ht="51" customHeight="1" x14ac:dyDescent="0.25">
      <c r="B72" s="359"/>
      <c r="C72" s="359"/>
      <c r="D72" s="359"/>
      <c r="E72" s="359"/>
      <c r="F72" s="359"/>
      <c r="G72" s="359"/>
      <c r="H72" s="359"/>
      <c r="I72" s="359"/>
      <c r="J72" s="35"/>
      <c r="K72" s="35"/>
      <c r="N72" s="36"/>
      <c r="V72" s="36"/>
    </row>
    <row r="73" spans="1:28" ht="32.25" customHeight="1" x14ac:dyDescent="0.25">
      <c r="B73" s="359"/>
      <c r="C73" s="359"/>
      <c r="D73" s="359"/>
      <c r="E73" s="359"/>
      <c r="F73" s="359"/>
      <c r="G73" s="359"/>
      <c r="H73" s="359"/>
      <c r="I73" s="359"/>
      <c r="J73" s="35"/>
      <c r="K73" s="35"/>
    </row>
    <row r="74" spans="1:28" ht="51.75" customHeight="1" x14ac:dyDescent="0.25">
      <c r="B74" s="359"/>
      <c r="C74" s="359"/>
      <c r="D74" s="359"/>
      <c r="E74" s="359"/>
      <c r="F74" s="359"/>
      <c r="G74" s="359"/>
      <c r="H74" s="359"/>
      <c r="I74" s="359"/>
      <c r="J74" s="35"/>
      <c r="K74" s="35"/>
    </row>
    <row r="75" spans="1:28" ht="21.75" customHeight="1" x14ac:dyDescent="0.25">
      <c r="B75" s="365"/>
      <c r="C75" s="365"/>
      <c r="D75" s="365"/>
      <c r="E75" s="365"/>
      <c r="F75" s="365"/>
      <c r="G75" s="365"/>
      <c r="H75" s="365"/>
      <c r="I75" s="365"/>
      <c r="J75" s="34"/>
      <c r="K75" s="34"/>
    </row>
    <row r="76" spans="1:28" ht="23.25" customHeight="1" x14ac:dyDescent="0.25"/>
    <row r="77" spans="1:28" ht="18.75" customHeight="1" x14ac:dyDescent="0.25">
      <c r="B77" s="358"/>
      <c r="C77" s="358"/>
      <c r="D77" s="358"/>
      <c r="E77" s="358"/>
      <c r="F77" s="358"/>
      <c r="G77" s="358"/>
      <c r="H77" s="358"/>
      <c r="I77" s="358"/>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8"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zoomScale="70" zoomScaleNormal="70" zoomScaleSheetLayoutView="70" workbookViewId="0">
      <selection activeCell="G25" sqref="G25"/>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7.7109375" style="32" customWidth="1"/>
    <col min="8" max="13" width="9.28515625" style="32" customWidth="1"/>
    <col min="14" max="14" width="13.7109375" style="32" customWidth="1"/>
    <col min="15" max="15" width="9.28515625" style="32" customWidth="1"/>
    <col min="16" max="17" width="8" style="32" customWidth="1"/>
    <col min="18" max="19" width="8.5703125" style="32" customWidth="1"/>
    <col min="20" max="21" width="8" style="32" customWidth="1"/>
    <col min="22" max="23" width="8.5703125" style="32" customWidth="1"/>
    <col min="24" max="25" width="10.7109375" style="32" customWidth="1"/>
    <col min="26" max="27" width="8.5703125" style="32" customWidth="1"/>
    <col min="28" max="28" width="20.28515625" style="32" customWidth="1"/>
    <col min="29" max="29" width="18.5703125" style="32" customWidth="1"/>
    <col min="30" max="33" width="14" style="32" customWidth="1"/>
    <col min="34" max="34" width="16" style="32" customWidth="1"/>
    <col min="35" max="35" width="12"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297" t="str">
        <f>'6.1. Паспорт сетевой график'!A5:K5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row>
    <row r="5" spans="1:29" ht="18.75" x14ac:dyDescent="0.3">
      <c r="AC5" s="12"/>
    </row>
    <row r="6" spans="1:29" ht="18.75" x14ac:dyDescent="0.25">
      <c r="A6" s="306" t="s">
        <v>7</v>
      </c>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306"/>
      <c r="AB6" s="306"/>
      <c r="AC6" s="306"/>
    </row>
    <row r="7" spans="1:29" ht="18.75" x14ac:dyDescent="0.25">
      <c r="A7" s="107"/>
      <c r="B7" s="107"/>
      <c r="C7" s="107"/>
      <c r="D7" s="107"/>
      <c r="E7" s="107"/>
      <c r="F7" s="107"/>
      <c r="G7" s="107"/>
      <c r="H7" s="167"/>
      <c r="I7" s="167"/>
      <c r="J7" s="167"/>
      <c r="K7" s="167"/>
      <c r="L7" s="167"/>
      <c r="M7" s="167"/>
      <c r="N7" s="167"/>
      <c r="O7" s="167"/>
      <c r="P7" s="167"/>
      <c r="Q7" s="167"/>
      <c r="R7" s="167"/>
      <c r="S7" s="167"/>
      <c r="T7" s="167"/>
      <c r="U7" s="167"/>
      <c r="V7" s="167"/>
      <c r="W7" s="167"/>
      <c r="X7" s="167"/>
      <c r="Y7" s="167"/>
      <c r="Z7" s="167"/>
      <c r="AA7" s="167"/>
      <c r="AB7" s="167"/>
      <c r="AC7" s="167"/>
    </row>
    <row r="8" spans="1:29" x14ac:dyDescent="0.25">
      <c r="A8" s="304" t="str">
        <f>'6.1. Паспорт сетевой график'!A9</f>
        <v xml:space="preserve">Акционерное общество "Западная энергетическая компания" </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304"/>
      <c r="AB8" s="304"/>
      <c r="AC8" s="304"/>
    </row>
    <row r="9" spans="1:29" ht="18.75" customHeight="1" x14ac:dyDescent="0.25">
      <c r="A9" s="310" t="s">
        <v>6</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310"/>
      <c r="AB9" s="310"/>
      <c r="AC9" s="310"/>
    </row>
    <row r="10" spans="1:29" ht="18.75" x14ac:dyDescent="0.25">
      <c r="A10" s="107"/>
      <c r="B10" s="107"/>
      <c r="C10" s="107"/>
      <c r="D10" s="107"/>
      <c r="E10" s="107"/>
      <c r="F10" s="107"/>
      <c r="G10" s="107"/>
      <c r="H10" s="167"/>
      <c r="I10" s="167"/>
      <c r="J10" s="167"/>
      <c r="K10" s="167"/>
      <c r="L10" s="167"/>
      <c r="M10" s="167"/>
      <c r="N10" s="167"/>
      <c r="O10" s="167"/>
      <c r="P10" s="167"/>
      <c r="Q10" s="167"/>
      <c r="R10" s="167"/>
      <c r="S10" s="167"/>
      <c r="T10" s="167"/>
      <c r="U10" s="167"/>
      <c r="V10" s="167"/>
      <c r="W10" s="167"/>
      <c r="X10" s="167"/>
      <c r="Y10" s="167"/>
      <c r="Z10" s="167"/>
      <c r="AA10" s="167"/>
      <c r="AB10" s="167"/>
      <c r="AC10" s="167"/>
    </row>
    <row r="11" spans="1:29" x14ac:dyDescent="0.25">
      <c r="A11" s="304" t="str">
        <f>'6.1. Паспорт сетевой график'!A12</f>
        <v>O 24-28</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c r="AB11" s="304"/>
      <c r="AC11" s="304"/>
    </row>
    <row r="12" spans="1:29" x14ac:dyDescent="0.25">
      <c r="A12" s="310" t="s">
        <v>5</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310"/>
      <c r="AB12" s="310"/>
      <c r="AC12" s="310"/>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50"/>
      <c r="U13" s="50"/>
      <c r="V13" s="50"/>
      <c r="W13" s="50"/>
      <c r="X13" s="50"/>
      <c r="Y13" s="50"/>
      <c r="Z13" s="50"/>
      <c r="AA13" s="50"/>
      <c r="AB13" s="50"/>
      <c r="AC13" s="50"/>
    </row>
    <row r="14" spans="1:29" ht="36" customHeight="1" x14ac:dyDescent="0.25">
      <c r="A14" s="330" t="str">
        <f>'6.1. Паспорт сетевой график'!A15</f>
        <v>Строительство нового РП на 7 выключателей  15 кВ с РЗА и ПА на микропроцессорной базе (замена СП-2 15 кВ)  в г. Пионерский Калининградской области</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row>
    <row r="15" spans="1:29" ht="15.75" customHeight="1" x14ac:dyDescent="0.25">
      <c r="A15" s="310" t="s">
        <v>4</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310"/>
      <c r="AB15" s="310"/>
      <c r="AC15" s="310"/>
    </row>
    <row r="16" spans="1:29" x14ac:dyDescent="0.25">
      <c r="A16" s="369"/>
      <c r="B16" s="369"/>
      <c r="C16" s="369"/>
      <c r="D16" s="369"/>
      <c r="E16" s="369"/>
      <c r="F16" s="369"/>
      <c r="G16" s="369"/>
      <c r="H16" s="369"/>
      <c r="I16" s="369"/>
      <c r="J16" s="369"/>
      <c r="K16" s="369"/>
      <c r="L16" s="369"/>
      <c r="M16" s="369"/>
      <c r="N16" s="369"/>
      <c r="O16" s="369"/>
      <c r="P16" s="369"/>
      <c r="Q16" s="369"/>
      <c r="R16" s="369"/>
      <c r="S16" s="369"/>
      <c r="T16" s="369"/>
      <c r="U16" s="369"/>
      <c r="V16" s="369"/>
      <c r="W16" s="369"/>
      <c r="X16" s="369"/>
      <c r="Y16" s="369"/>
      <c r="Z16" s="369"/>
      <c r="AA16" s="369"/>
      <c r="AB16" s="369"/>
      <c r="AC16" s="369"/>
    </row>
    <row r="18" spans="1:35" x14ac:dyDescent="0.25">
      <c r="A18" s="371" t="s">
        <v>393</v>
      </c>
      <c r="B18" s="371"/>
      <c r="C18" s="371"/>
      <c r="D18" s="371"/>
      <c r="E18" s="371"/>
      <c r="F18" s="371"/>
      <c r="G18" s="371"/>
      <c r="H18" s="371"/>
      <c r="I18" s="371"/>
      <c r="J18" s="371"/>
      <c r="K18" s="371"/>
      <c r="L18" s="371"/>
      <c r="M18" s="371"/>
      <c r="N18" s="371"/>
      <c r="O18" s="371"/>
      <c r="P18" s="371"/>
      <c r="Q18" s="371"/>
      <c r="R18" s="371"/>
      <c r="S18" s="371"/>
      <c r="T18" s="371"/>
      <c r="U18" s="371"/>
      <c r="V18" s="371"/>
      <c r="W18" s="371"/>
      <c r="X18" s="371"/>
      <c r="Y18" s="371"/>
      <c r="Z18" s="371"/>
      <c r="AA18" s="371"/>
      <c r="AB18" s="371"/>
      <c r="AC18" s="371"/>
    </row>
    <row r="19" spans="1:35" ht="49.5" hidden="1" customHeight="1" x14ac:dyDescent="0.25">
      <c r="E19" s="48" t="s">
        <v>545</v>
      </c>
      <c r="F19" s="285"/>
      <c r="G19" s="48" t="s">
        <v>546</v>
      </c>
      <c r="H19" s="32" t="s">
        <v>547</v>
      </c>
      <c r="L19" s="32" t="s">
        <v>548</v>
      </c>
      <c r="P19" s="32" t="s">
        <v>549</v>
      </c>
    </row>
    <row r="20" spans="1:35" ht="33" customHeight="1" x14ac:dyDescent="0.25">
      <c r="A20" s="360" t="s">
        <v>183</v>
      </c>
      <c r="B20" s="360" t="s">
        <v>182</v>
      </c>
      <c r="C20" s="356" t="s">
        <v>181</v>
      </c>
      <c r="D20" s="356"/>
      <c r="E20" s="373" t="s">
        <v>180</v>
      </c>
      <c r="F20" s="374"/>
      <c r="G20" s="360" t="s">
        <v>604</v>
      </c>
      <c r="H20" s="363">
        <v>2025</v>
      </c>
      <c r="I20" s="364"/>
      <c r="J20" s="364"/>
      <c r="K20" s="377"/>
      <c r="L20" s="363">
        <v>2026</v>
      </c>
      <c r="M20" s="364"/>
      <c r="N20" s="364"/>
      <c r="O20" s="377"/>
      <c r="P20" s="363">
        <v>2027</v>
      </c>
      <c r="Q20" s="364"/>
      <c r="R20" s="364"/>
      <c r="S20" s="377"/>
      <c r="T20" s="363">
        <v>2028</v>
      </c>
      <c r="U20" s="364"/>
      <c r="V20" s="364"/>
      <c r="W20" s="377"/>
      <c r="X20" s="363">
        <v>2029</v>
      </c>
      <c r="Y20" s="364"/>
      <c r="Z20" s="364"/>
      <c r="AA20" s="364"/>
      <c r="AB20" s="372" t="s">
        <v>179</v>
      </c>
      <c r="AC20" s="372"/>
      <c r="AD20" s="49"/>
      <c r="AE20" s="49"/>
      <c r="AF20" s="49"/>
    </row>
    <row r="21" spans="1:35" ht="99.75" customHeight="1" x14ac:dyDescent="0.25">
      <c r="A21" s="361"/>
      <c r="B21" s="361"/>
      <c r="C21" s="356"/>
      <c r="D21" s="356"/>
      <c r="E21" s="375"/>
      <c r="F21" s="376"/>
      <c r="G21" s="361"/>
      <c r="H21" s="356" t="s">
        <v>2</v>
      </c>
      <c r="I21" s="356"/>
      <c r="J21" s="356" t="s">
        <v>178</v>
      </c>
      <c r="K21" s="356"/>
      <c r="L21" s="356" t="s">
        <v>2</v>
      </c>
      <c r="M21" s="356"/>
      <c r="N21" s="356" t="s">
        <v>178</v>
      </c>
      <c r="O21" s="356"/>
      <c r="P21" s="356" t="s">
        <v>2</v>
      </c>
      <c r="Q21" s="356"/>
      <c r="R21" s="356" t="s">
        <v>178</v>
      </c>
      <c r="S21" s="356"/>
      <c r="T21" s="356" t="s">
        <v>2</v>
      </c>
      <c r="U21" s="356"/>
      <c r="V21" s="356" t="s">
        <v>178</v>
      </c>
      <c r="W21" s="356"/>
      <c r="X21" s="356" t="s">
        <v>2</v>
      </c>
      <c r="Y21" s="356"/>
      <c r="Z21" s="356" t="s">
        <v>178</v>
      </c>
      <c r="AA21" s="356"/>
      <c r="AB21" s="372"/>
      <c r="AC21" s="372"/>
    </row>
    <row r="22" spans="1:35" ht="89.25" customHeight="1" x14ac:dyDescent="0.25">
      <c r="A22" s="362"/>
      <c r="B22" s="362"/>
      <c r="C22" s="46" t="s">
        <v>2</v>
      </c>
      <c r="D22" s="46" t="s">
        <v>178</v>
      </c>
      <c r="E22" s="286" t="s">
        <v>594</v>
      </c>
      <c r="F22" s="286" t="s">
        <v>594</v>
      </c>
      <c r="G22" s="362"/>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562</v>
      </c>
      <c r="AC22" s="46" t="s">
        <v>535</v>
      </c>
    </row>
    <row r="23" spans="1:35" ht="19.5" customHeight="1" x14ac:dyDescent="0.25">
      <c r="A23" s="39">
        <v>1</v>
      </c>
      <c r="B23" s="39">
        <v>2</v>
      </c>
      <c r="C23" s="39">
        <v>3</v>
      </c>
      <c r="D23" s="39">
        <v>4</v>
      </c>
      <c r="E23" s="39">
        <v>5</v>
      </c>
      <c r="F23" s="286">
        <v>6</v>
      </c>
      <c r="G23" s="39">
        <v>7</v>
      </c>
      <c r="H23" s="39">
        <v>8</v>
      </c>
      <c r="I23" s="39">
        <v>9</v>
      </c>
      <c r="J23" s="39">
        <v>10</v>
      </c>
      <c r="K23" s="39">
        <v>11</v>
      </c>
      <c r="L23" s="39">
        <v>12</v>
      </c>
      <c r="M23" s="39">
        <v>13</v>
      </c>
      <c r="N23" s="39">
        <v>14</v>
      </c>
      <c r="O23" s="39">
        <v>15</v>
      </c>
      <c r="P23" s="39">
        <v>16</v>
      </c>
      <c r="Q23" s="39">
        <v>17</v>
      </c>
      <c r="R23" s="39">
        <v>18</v>
      </c>
      <c r="S23" s="39">
        <v>19</v>
      </c>
      <c r="T23" s="39">
        <v>20</v>
      </c>
      <c r="U23" s="39">
        <v>21</v>
      </c>
      <c r="V23" s="39">
        <v>22</v>
      </c>
      <c r="W23" s="39">
        <v>23</v>
      </c>
      <c r="X23" s="39">
        <v>24</v>
      </c>
      <c r="Y23" s="39">
        <v>25</v>
      </c>
      <c r="Z23" s="39">
        <v>26</v>
      </c>
      <c r="AA23" s="39">
        <v>27</v>
      </c>
      <c r="AB23" s="39">
        <v>28</v>
      </c>
      <c r="AC23" s="39">
        <v>29</v>
      </c>
    </row>
    <row r="24" spans="1:35" ht="47.25" customHeight="1" x14ac:dyDescent="0.25">
      <c r="A24" s="44">
        <v>1</v>
      </c>
      <c r="B24" s="43" t="s">
        <v>177</v>
      </c>
      <c r="C24" s="96">
        <f>SUM(C25:C29)</f>
        <v>27.988047120803998</v>
      </c>
      <c r="D24" s="98" t="s">
        <v>536</v>
      </c>
      <c r="E24" s="96">
        <f>C24</f>
        <v>27.988047120803998</v>
      </c>
      <c r="F24" s="287">
        <v>27.988047120803998</v>
      </c>
      <c r="G24" s="98">
        <f>SUM(G25:G29)</f>
        <v>0</v>
      </c>
      <c r="H24" s="98">
        <f>SUM(H25:H29)</f>
        <v>20.807672606447994</v>
      </c>
      <c r="I24" s="96">
        <f>SUM(I25:I29)</f>
        <v>0</v>
      </c>
      <c r="J24" s="98" t="s">
        <v>536</v>
      </c>
      <c r="K24" s="98" t="s">
        <v>536</v>
      </c>
      <c r="L24" s="98">
        <f t="shared" ref="L24:L29" si="0">C24-H24</f>
        <v>7.1803745143560036</v>
      </c>
      <c r="M24" s="96">
        <f t="shared" ref="M24:Y24" si="1">SUM(M25:M29)</f>
        <v>0</v>
      </c>
      <c r="N24" s="98" t="s">
        <v>536</v>
      </c>
      <c r="O24" s="98" t="s">
        <v>536</v>
      </c>
      <c r="P24" s="96">
        <v>0</v>
      </c>
      <c r="Q24" s="96">
        <f t="shared" si="1"/>
        <v>0</v>
      </c>
      <c r="R24" s="98" t="s">
        <v>536</v>
      </c>
      <c r="S24" s="98" t="s">
        <v>536</v>
      </c>
      <c r="T24" s="96">
        <v>0</v>
      </c>
      <c r="U24" s="96">
        <f t="shared" si="1"/>
        <v>0</v>
      </c>
      <c r="V24" s="98" t="s">
        <v>536</v>
      </c>
      <c r="W24" s="98" t="s">
        <v>536</v>
      </c>
      <c r="X24" s="96">
        <v>0</v>
      </c>
      <c r="Y24" s="96">
        <f t="shared" si="1"/>
        <v>0</v>
      </c>
      <c r="Z24" s="98" t="s">
        <v>536</v>
      </c>
      <c r="AA24" s="98" t="s">
        <v>536</v>
      </c>
      <c r="AB24" s="96">
        <f>H24+L24+P24+T24+X24</f>
        <v>27.988047120803998</v>
      </c>
      <c r="AC24" s="96" t="s">
        <v>536</v>
      </c>
    </row>
    <row r="25" spans="1:35" ht="24" customHeight="1" x14ac:dyDescent="0.25">
      <c r="A25" s="41" t="s">
        <v>176</v>
      </c>
      <c r="B25" s="25" t="s">
        <v>175</v>
      </c>
      <c r="C25" s="96">
        <v>0</v>
      </c>
      <c r="D25" s="98" t="s">
        <v>536</v>
      </c>
      <c r="E25" s="96">
        <f t="shared" ref="E25:E64" si="2">C25</f>
        <v>0</v>
      </c>
      <c r="F25" s="287">
        <v>0</v>
      </c>
      <c r="G25" s="98">
        <f t="shared" ref="G25:G64" si="3">SUM(G26:G30)</f>
        <v>0</v>
      </c>
      <c r="H25" s="98">
        <f>C25</f>
        <v>0</v>
      </c>
      <c r="I25" s="98">
        <v>0</v>
      </c>
      <c r="J25" s="98" t="s">
        <v>536</v>
      </c>
      <c r="K25" s="98" t="s">
        <v>536</v>
      </c>
      <c r="L25" s="98">
        <f t="shared" si="0"/>
        <v>0</v>
      </c>
      <c r="M25" s="98">
        <v>0</v>
      </c>
      <c r="N25" s="98" t="s">
        <v>536</v>
      </c>
      <c r="O25" s="98" t="s">
        <v>536</v>
      </c>
      <c r="P25" s="98">
        <v>0</v>
      </c>
      <c r="Q25" s="98">
        <v>0</v>
      </c>
      <c r="R25" s="98" t="s">
        <v>536</v>
      </c>
      <c r="S25" s="98" t="s">
        <v>536</v>
      </c>
      <c r="T25" s="98">
        <v>0</v>
      </c>
      <c r="U25" s="98">
        <v>0</v>
      </c>
      <c r="V25" s="98" t="s">
        <v>536</v>
      </c>
      <c r="W25" s="98" t="s">
        <v>536</v>
      </c>
      <c r="X25" s="98">
        <v>0</v>
      </c>
      <c r="Y25" s="98">
        <v>0</v>
      </c>
      <c r="Z25" s="98" t="s">
        <v>536</v>
      </c>
      <c r="AA25" s="98" t="s">
        <v>536</v>
      </c>
      <c r="AB25" s="96">
        <f t="shared" ref="AB25:AB64" si="4">H25+L25+P25+T25+X25</f>
        <v>0</v>
      </c>
      <c r="AC25" s="96" t="s">
        <v>536</v>
      </c>
    </row>
    <row r="26" spans="1:35" x14ac:dyDescent="0.25">
      <c r="A26" s="41" t="s">
        <v>174</v>
      </c>
      <c r="B26" s="25" t="s">
        <v>173</v>
      </c>
      <c r="C26" s="96">
        <v>0</v>
      </c>
      <c r="D26" s="98" t="s">
        <v>536</v>
      </c>
      <c r="E26" s="96">
        <f t="shared" si="2"/>
        <v>0</v>
      </c>
      <c r="F26" s="287">
        <v>0</v>
      </c>
      <c r="G26" s="98">
        <f t="shared" si="3"/>
        <v>0</v>
      </c>
      <c r="H26" s="98">
        <f>C26</f>
        <v>0</v>
      </c>
      <c r="I26" s="98">
        <v>0</v>
      </c>
      <c r="J26" s="98" t="s">
        <v>536</v>
      </c>
      <c r="K26" s="98" t="s">
        <v>536</v>
      </c>
      <c r="L26" s="98">
        <f t="shared" si="0"/>
        <v>0</v>
      </c>
      <c r="M26" s="98">
        <v>0</v>
      </c>
      <c r="N26" s="98" t="s">
        <v>536</v>
      </c>
      <c r="O26" s="98" t="s">
        <v>536</v>
      </c>
      <c r="P26" s="98">
        <v>0</v>
      </c>
      <c r="Q26" s="98">
        <v>0</v>
      </c>
      <c r="R26" s="98" t="s">
        <v>536</v>
      </c>
      <c r="S26" s="98" t="s">
        <v>536</v>
      </c>
      <c r="T26" s="98">
        <v>0</v>
      </c>
      <c r="U26" s="98">
        <v>0</v>
      </c>
      <c r="V26" s="98" t="s">
        <v>536</v>
      </c>
      <c r="W26" s="98" t="s">
        <v>536</v>
      </c>
      <c r="X26" s="98">
        <v>0</v>
      </c>
      <c r="Y26" s="98">
        <v>0</v>
      </c>
      <c r="Z26" s="98" t="s">
        <v>536</v>
      </c>
      <c r="AA26" s="98" t="s">
        <v>536</v>
      </c>
      <c r="AB26" s="96">
        <f t="shared" si="4"/>
        <v>0</v>
      </c>
      <c r="AC26" s="96" t="s">
        <v>536</v>
      </c>
    </row>
    <row r="27" spans="1:35" ht="31.5" x14ac:dyDescent="0.25">
      <c r="A27" s="41" t="s">
        <v>172</v>
      </c>
      <c r="B27" s="25" t="s">
        <v>356</v>
      </c>
      <c r="C27" s="96">
        <f>C30*1.2</f>
        <v>27.988047120803998</v>
      </c>
      <c r="D27" s="98" t="s">
        <v>536</v>
      </c>
      <c r="E27" s="96">
        <f t="shared" si="2"/>
        <v>27.988047120803998</v>
      </c>
      <c r="F27" s="287">
        <v>27.988047120803998</v>
      </c>
      <c r="G27" s="98">
        <f t="shared" si="3"/>
        <v>0</v>
      </c>
      <c r="H27" s="98">
        <f>H30*1.2</f>
        <v>20.807672606447994</v>
      </c>
      <c r="I27" s="98">
        <v>0</v>
      </c>
      <c r="J27" s="98" t="s">
        <v>536</v>
      </c>
      <c r="K27" s="98" t="s">
        <v>536</v>
      </c>
      <c r="L27" s="98">
        <f t="shared" si="0"/>
        <v>7.1803745143560036</v>
      </c>
      <c r="M27" s="98">
        <v>0</v>
      </c>
      <c r="N27" s="98" t="s">
        <v>536</v>
      </c>
      <c r="O27" s="98" t="s">
        <v>536</v>
      </c>
      <c r="P27" s="98">
        <f>P24</f>
        <v>0</v>
      </c>
      <c r="Q27" s="98">
        <v>0</v>
      </c>
      <c r="R27" s="98" t="s">
        <v>536</v>
      </c>
      <c r="S27" s="98" t="s">
        <v>536</v>
      </c>
      <c r="T27" s="98">
        <f>T24</f>
        <v>0</v>
      </c>
      <c r="U27" s="98">
        <v>0</v>
      </c>
      <c r="V27" s="98" t="s">
        <v>536</v>
      </c>
      <c r="W27" s="98" t="s">
        <v>536</v>
      </c>
      <c r="X27" s="98">
        <f>X24</f>
        <v>0</v>
      </c>
      <c r="Y27" s="98">
        <v>0</v>
      </c>
      <c r="Z27" s="98" t="s">
        <v>536</v>
      </c>
      <c r="AA27" s="98" t="s">
        <v>536</v>
      </c>
      <c r="AB27" s="96">
        <f t="shared" si="4"/>
        <v>27.988047120803998</v>
      </c>
      <c r="AC27" s="96" t="s">
        <v>536</v>
      </c>
    </row>
    <row r="28" spans="1:35" x14ac:dyDescent="0.25">
      <c r="A28" s="41" t="s">
        <v>171</v>
      </c>
      <c r="B28" s="25" t="s">
        <v>537</v>
      </c>
      <c r="C28" s="96">
        <v>0</v>
      </c>
      <c r="D28" s="98" t="s">
        <v>536</v>
      </c>
      <c r="E28" s="96">
        <f t="shared" si="2"/>
        <v>0</v>
      </c>
      <c r="F28" s="287">
        <v>0</v>
      </c>
      <c r="G28" s="98">
        <f t="shared" si="3"/>
        <v>0</v>
      </c>
      <c r="H28" s="98">
        <v>0</v>
      </c>
      <c r="I28" s="98">
        <v>0</v>
      </c>
      <c r="J28" s="98" t="s">
        <v>536</v>
      </c>
      <c r="K28" s="98" t="s">
        <v>536</v>
      </c>
      <c r="L28" s="98">
        <f t="shared" si="0"/>
        <v>0</v>
      </c>
      <c r="M28" s="98">
        <v>0</v>
      </c>
      <c r="N28" s="98" t="s">
        <v>536</v>
      </c>
      <c r="O28" s="98" t="s">
        <v>536</v>
      </c>
      <c r="P28" s="98">
        <v>0</v>
      </c>
      <c r="Q28" s="98">
        <v>0</v>
      </c>
      <c r="R28" s="98" t="s">
        <v>536</v>
      </c>
      <c r="S28" s="98" t="s">
        <v>536</v>
      </c>
      <c r="T28" s="98">
        <v>0</v>
      </c>
      <c r="U28" s="98">
        <v>0</v>
      </c>
      <c r="V28" s="98" t="s">
        <v>536</v>
      </c>
      <c r="W28" s="98" t="s">
        <v>536</v>
      </c>
      <c r="X28" s="98">
        <v>0</v>
      </c>
      <c r="Y28" s="98">
        <v>0</v>
      </c>
      <c r="Z28" s="98" t="s">
        <v>536</v>
      </c>
      <c r="AA28" s="98" t="s">
        <v>536</v>
      </c>
      <c r="AB28" s="96">
        <f t="shared" si="4"/>
        <v>0</v>
      </c>
      <c r="AC28" s="96" t="s">
        <v>536</v>
      </c>
    </row>
    <row r="29" spans="1:35" x14ac:dyDescent="0.25">
      <c r="A29" s="41" t="s">
        <v>169</v>
      </c>
      <c r="B29" s="45" t="s">
        <v>168</v>
      </c>
      <c r="C29" s="96">
        <v>0</v>
      </c>
      <c r="D29" s="98" t="s">
        <v>536</v>
      </c>
      <c r="E29" s="96">
        <f t="shared" si="2"/>
        <v>0</v>
      </c>
      <c r="F29" s="287">
        <v>0</v>
      </c>
      <c r="G29" s="98">
        <f t="shared" si="3"/>
        <v>0</v>
      </c>
      <c r="H29" s="98">
        <f>'6.2. Паспорт фин осв ввод факт'!T29</f>
        <v>0</v>
      </c>
      <c r="I29" s="98">
        <v>0</v>
      </c>
      <c r="J29" s="98" t="s">
        <v>536</v>
      </c>
      <c r="K29" s="98" t="s">
        <v>536</v>
      </c>
      <c r="L29" s="98">
        <f t="shared" si="0"/>
        <v>0</v>
      </c>
      <c r="M29" s="98">
        <v>0</v>
      </c>
      <c r="N29" s="98" t="s">
        <v>536</v>
      </c>
      <c r="O29" s="98" t="s">
        <v>536</v>
      </c>
      <c r="P29" s="98">
        <v>0</v>
      </c>
      <c r="Q29" s="98">
        <v>0</v>
      </c>
      <c r="R29" s="98" t="s">
        <v>536</v>
      </c>
      <c r="S29" s="98" t="s">
        <v>536</v>
      </c>
      <c r="T29" s="98">
        <v>0</v>
      </c>
      <c r="U29" s="98">
        <v>0</v>
      </c>
      <c r="V29" s="98" t="s">
        <v>536</v>
      </c>
      <c r="W29" s="98" t="s">
        <v>536</v>
      </c>
      <c r="X29" s="98">
        <v>0</v>
      </c>
      <c r="Y29" s="98">
        <v>0</v>
      </c>
      <c r="Z29" s="98" t="s">
        <v>536</v>
      </c>
      <c r="AA29" s="98" t="s">
        <v>536</v>
      </c>
      <c r="AB29" s="96">
        <f t="shared" si="4"/>
        <v>0</v>
      </c>
      <c r="AC29" s="96" t="s">
        <v>536</v>
      </c>
    </row>
    <row r="30" spans="1:35" s="282" customFormat="1" ht="47.25" x14ac:dyDescent="0.25">
      <c r="A30" s="44" t="s">
        <v>61</v>
      </c>
      <c r="B30" s="43" t="s">
        <v>167</v>
      </c>
      <c r="C30" s="96">
        <f>SUM(C31:C34)</f>
        <v>23.323372600669998</v>
      </c>
      <c r="D30" s="98" t="s">
        <v>536</v>
      </c>
      <c r="E30" s="96">
        <f t="shared" si="2"/>
        <v>23.323372600669998</v>
      </c>
      <c r="F30" s="287">
        <v>23.323372600669998</v>
      </c>
      <c r="G30" s="98">
        <f t="shared" si="3"/>
        <v>0</v>
      </c>
      <c r="H30" s="98">
        <f>SUM(H31:H34)</f>
        <v>17.339727172039996</v>
      </c>
      <c r="I30" s="96">
        <v>0</v>
      </c>
      <c r="J30" s="98" t="s">
        <v>536</v>
      </c>
      <c r="K30" s="98" t="s">
        <v>536</v>
      </c>
      <c r="L30" s="98">
        <f>'[1]4'!D175-H30</f>
        <v>-17.339727172039996</v>
      </c>
      <c r="M30" s="96">
        <v>0</v>
      </c>
      <c r="N30" s="98" t="s">
        <v>536</v>
      </c>
      <c r="O30" s="98" t="s">
        <v>536</v>
      </c>
      <c r="P30" s="96">
        <f>P24/1.2</f>
        <v>0</v>
      </c>
      <c r="Q30" s="96">
        <v>0</v>
      </c>
      <c r="R30" s="98" t="s">
        <v>536</v>
      </c>
      <c r="S30" s="98" t="s">
        <v>536</v>
      </c>
      <c r="T30" s="96">
        <f>T24/1.2</f>
        <v>0</v>
      </c>
      <c r="U30" s="96">
        <v>0</v>
      </c>
      <c r="V30" s="98" t="s">
        <v>536</v>
      </c>
      <c r="W30" s="98" t="s">
        <v>536</v>
      </c>
      <c r="X30" s="96">
        <f>X24/1.2</f>
        <v>0</v>
      </c>
      <c r="Y30" s="96">
        <v>0</v>
      </c>
      <c r="Z30" s="98" t="s">
        <v>536</v>
      </c>
      <c r="AA30" s="98" t="s">
        <v>536</v>
      </c>
      <c r="AB30" s="96">
        <f t="shared" si="4"/>
        <v>0</v>
      </c>
      <c r="AC30" s="96" t="s">
        <v>536</v>
      </c>
      <c r="AD30" s="284"/>
      <c r="AE30" s="284"/>
      <c r="AF30" s="284"/>
      <c r="AG30" s="284"/>
      <c r="AH30" s="284"/>
      <c r="AI30" s="284"/>
    </row>
    <row r="31" spans="1:35" x14ac:dyDescent="0.25">
      <c r="A31" s="44" t="s">
        <v>166</v>
      </c>
      <c r="B31" s="25" t="s">
        <v>165</v>
      </c>
      <c r="C31" s="98">
        <v>0.78711636991</v>
      </c>
      <c r="D31" s="98" t="s">
        <v>536</v>
      </c>
      <c r="E31" s="96">
        <f t="shared" si="2"/>
        <v>0.78711636991</v>
      </c>
      <c r="F31" s="287">
        <v>0.78711636991</v>
      </c>
      <c r="G31" s="98">
        <f t="shared" si="3"/>
        <v>0</v>
      </c>
      <c r="H31" s="98">
        <f>C31</f>
        <v>0.78711636991</v>
      </c>
      <c r="I31" s="98">
        <v>0</v>
      </c>
      <c r="J31" s="98" t="s">
        <v>536</v>
      </c>
      <c r="K31" s="98" t="s">
        <v>536</v>
      </c>
      <c r="L31" s="98">
        <f>C31-H31</f>
        <v>0</v>
      </c>
      <c r="M31" s="98">
        <v>0</v>
      </c>
      <c r="N31" s="98" t="s">
        <v>536</v>
      </c>
      <c r="O31" s="98" t="s">
        <v>536</v>
      </c>
      <c r="P31" s="98">
        <v>0</v>
      </c>
      <c r="Q31" s="98">
        <v>0</v>
      </c>
      <c r="R31" s="98" t="s">
        <v>536</v>
      </c>
      <c r="S31" s="98" t="s">
        <v>536</v>
      </c>
      <c r="T31" s="98">
        <v>0</v>
      </c>
      <c r="U31" s="98">
        <v>0</v>
      </c>
      <c r="V31" s="98" t="s">
        <v>536</v>
      </c>
      <c r="W31" s="98" t="s">
        <v>536</v>
      </c>
      <c r="X31" s="98">
        <v>0</v>
      </c>
      <c r="Y31" s="98">
        <v>0</v>
      </c>
      <c r="Z31" s="98" t="s">
        <v>536</v>
      </c>
      <c r="AA31" s="98" t="s">
        <v>536</v>
      </c>
      <c r="AB31" s="96">
        <f t="shared" si="4"/>
        <v>0.78711636991</v>
      </c>
      <c r="AC31" s="96" t="s">
        <v>536</v>
      </c>
    </row>
    <row r="32" spans="1:35" ht="31.5" x14ac:dyDescent="0.25">
      <c r="A32" s="44" t="s">
        <v>164</v>
      </c>
      <c r="B32" s="25" t="s">
        <v>163</v>
      </c>
      <c r="C32" s="98">
        <v>2.18653918984</v>
      </c>
      <c r="D32" s="98" t="s">
        <v>536</v>
      </c>
      <c r="E32" s="96">
        <f t="shared" si="2"/>
        <v>2.18653918984</v>
      </c>
      <c r="F32" s="287">
        <v>2.18653918984</v>
      </c>
      <c r="G32" s="98">
        <f t="shared" si="3"/>
        <v>0</v>
      </c>
      <c r="H32" s="98">
        <v>0</v>
      </c>
      <c r="I32" s="98">
        <v>0</v>
      </c>
      <c r="J32" s="98" t="s">
        <v>536</v>
      </c>
      <c r="K32" s="98" t="s">
        <v>536</v>
      </c>
      <c r="L32" s="98">
        <f>C32-H32</f>
        <v>2.18653918984</v>
      </c>
      <c r="M32" s="98">
        <v>0</v>
      </c>
      <c r="N32" s="98" t="s">
        <v>536</v>
      </c>
      <c r="O32" s="98" t="s">
        <v>536</v>
      </c>
      <c r="P32" s="98">
        <v>0</v>
      </c>
      <c r="Q32" s="98">
        <v>0</v>
      </c>
      <c r="R32" s="98" t="s">
        <v>536</v>
      </c>
      <c r="S32" s="98" t="s">
        <v>536</v>
      </c>
      <c r="T32" s="98">
        <v>0</v>
      </c>
      <c r="U32" s="98">
        <v>0</v>
      </c>
      <c r="V32" s="98" t="s">
        <v>536</v>
      </c>
      <c r="W32" s="98" t="s">
        <v>536</v>
      </c>
      <c r="X32" s="98">
        <v>0</v>
      </c>
      <c r="Y32" s="98">
        <v>0</v>
      </c>
      <c r="Z32" s="98" t="s">
        <v>536</v>
      </c>
      <c r="AA32" s="98" t="s">
        <v>536</v>
      </c>
      <c r="AB32" s="96">
        <f t="shared" si="4"/>
        <v>2.18653918984</v>
      </c>
      <c r="AC32" s="96" t="s">
        <v>536</v>
      </c>
    </row>
    <row r="33" spans="1:29" x14ac:dyDescent="0.25">
      <c r="A33" s="44" t="s">
        <v>162</v>
      </c>
      <c r="B33" s="25" t="s">
        <v>161</v>
      </c>
      <c r="C33" s="98">
        <v>16.552610802129998</v>
      </c>
      <c r="D33" s="98" t="s">
        <v>536</v>
      </c>
      <c r="E33" s="96">
        <f t="shared" si="2"/>
        <v>16.552610802129998</v>
      </c>
      <c r="F33" s="287">
        <v>16.552610802129998</v>
      </c>
      <c r="G33" s="98">
        <f t="shared" si="3"/>
        <v>0</v>
      </c>
      <c r="H33" s="98">
        <f>C33</f>
        <v>16.552610802129998</v>
      </c>
      <c r="I33" s="98">
        <v>0</v>
      </c>
      <c r="J33" s="98" t="s">
        <v>536</v>
      </c>
      <c r="K33" s="98" t="s">
        <v>536</v>
      </c>
      <c r="L33" s="98">
        <f>C33-H33</f>
        <v>0</v>
      </c>
      <c r="M33" s="98">
        <v>0</v>
      </c>
      <c r="N33" s="98" t="s">
        <v>536</v>
      </c>
      <c r="O33" s="98" t="s">
        <v>536</v>
      </c>
      <c r="P33" s="98">
        <v>0</v>
      </c>
      <c r="Q33" s="98">
        <v>0</v>
      </c>
      <c r="R33" s="98" t="s">
        <v>536</v>
      </c>
      <c r="S33" s="98" t="s">
        <v>536</v>
      </c>
      <c r="T33" s="98">
        <v>0</v>
      </c>
      <c r="U33" s="98">
        <v>0</v>
      </c>
      <c r="V33" s="98" t="s">
        <v>536</v>
      </c>
      <c r="W33" s="98" t="s">
        <v>536</v>
      </c>
      <c r="X33" s="98">
        <v>0</v>
      </c>
      <c r="Y33" s="98">
        <v>0</v>
      </c>
      <c r="Z33" s="98" t="s">
        <v>536</v>
      </c>
      <c r="AA33" s="98" t="s">
        <v>536</v>
      </c>
      <c r="AB33" s="96">
        <f t="shared" si="4"/>
        <v>16.552610802129998</v>
      </c>
      <c r="AC33" s="96" t="s">
        <v>536</v>
      </c>
    </row>
    <row r="34" spans="1:29" x14ac:dyDescent="0.25">
      <c r="A34" s="44" t="s">
        <v>160</v>
      </c>
      <c r="B34" s="25" t="s">
        <v>159</v>
      </c>
      <c r="C34" s="98">
        <v>3.7971062387900001</v>
      </c>
      <c r="D34" s="98" t="s">
        <v>536</v>
      </c>
      <c r="E34" s="96">
        <f t="shared" si="2"/>
        <v>3.7971062387900001</v>
      </c>
      <c r="F34" s="287">
        <v>3.7971062387900001</v>
      </c>
      <c r="G34" s="98">
        <f t="shared" si="3"/>
        <v>0</v>
      </c>
      <c r="H34" s="98">
        <f>'6.2. Паспорт фин осв ввод факт'!T34</f>
        <v>0</v>
      </c>
      <c r="I34" s="98">
        <v>0</v>
      </c>
      <c r="J34" s="98" t="s">
        <v>536</v>
      </c>
      <c r="K34" s="98" t="s">
        <v>536</v>
      </c>
      <c r="L34" s="98">
        <f>C34-H34</f>
        <v>3.7971062387900001</v>
      </c>
      <c r="M34" s="98">
        <v>0</v>
      </c>
      <c r="N34" s="98" t="s">
        <v>536</v>
      </c>
      <c r="O34" s="98" t="s">
        <v>536</v>
      </c>
      <c r="P34" s="98">
        <v>0</v>
      </c>
      <c r="Q34" s="98">
        <v>0</v>
      </c>
      <c r="R34" s="98" t="s">
        <v>536</v>
      </c>
      <c r="S34" s="98" t="s">
        <v>536</v>
      </c>
      <c r="T34" s="98">
        <v>0</v>
      </c>
      <c r="U34" s="98">
        <v>0</v>
      </c>
      <c r="V34" s="98" t="s">
        <v>536</v>
      </c>
      <c r="W34" s="98" t="s">
        <v>536</v>
      </c>
      <c r="X34" s="98">
        <v>0</v>
      </c>
      <c r="Y34" s="98">
        <v>0</v>
      </c>
      <c r="Z34" s="98" t="s">
        <v>536</v>
      </c>
      <c r="AA34" s="98" t="s">
        <v>536</v>
      </c>
      <c r="AB34" s="96">
        <f t="shared" si="4"/>
        <v>3.7971062387900001</v>
      </c>
      <c r="AC34" s="96" t="s">
        <v>536</v>
      </c>
    </row>
    <row r="35" spans="1:29" s="282" customFormat="1" ht="31.5" x14ac:dyDescent="0.25">
      <c r="A35" s="44" t="s">
        <v>60</v>
      </c>
      <c r="B35" s="43" t="s">
        <v>158</v>
      </c>
      <c r="C35" s="96">
        <v>0</v>
      </c>
      <c r="D35" s="98" t="s">
        <v>536</v>
      </c>
      <c r="E35" s="96">
        <f t="shared" si="2"/>
        <v>0</v>
      </c>
      <c r="F35" s="287">
        <v>0</v>
      </c>
      <c r="G35" s="98">
        <f t="shared" si="3"/>
        <v>0</v>
      </c>
      <c r="H35" s="96">
        <f>'6.2. Паспорт фин осв ввод факт'!T35</f>
        <v>0</v>
      </c>
      <c r="I35" s="96">
        <v>0</v>
      </c>
      <c r="J35" s="98" t="s">
        <v>536</v>
      </c>
      <c r="K35" s="98" t="s">
        <v>536</v>
      </c>
      <c r="L35" s="98">
        <f t="shared" ref="L35:L49" si="5">C35</f>
        <v>0</v>
      </c>
      <c r="M35" s="96">
        <v>0</v>
      </c>
      <c r="N35" s="98" t="s">
        <v>536</v>
      </c>
      <c r="O35" s="98" t="s">
        <v>536</v>
      </c>
      <c r="P35" s="96">
        <v>0</v>
      </c>
      <c r="Q35" s="96">
        <v>0</v>
      </c>
      <c r="R35" s="98" t="s">
        <v>536</v>
      </c>
      <c r="S35" s="98" t="s">
        <v>536</v>
      </c>
      <c r="T35" s="96">
        <v>0</v>
      </c>
      <c r="U35" s="96">
        <v>0</v>
      </c>
      <c r="V35" s="98" t="s">
        <v>536</v>
      </c>
      <c r="W35" s="98" t="s">
        <v>536</v>
      </c>
      <c r="X35" s="96">
        <f t="shared" ref="X35:X41" si="6">C35</f>
        <v>0</v>
      </c>
      <c r="Y35" s="96">
        <v>0</v>
      </c>
      <c r="Z35" s="98" t="s">
        <v>536</v>
      </c>
      <c r="AA35" s="98" t="s">
        <v>536</v>
      </c>
      <c r="AB35" s="96">
        <f t="shared" si="4"/>
        <v>0</v>
      </c>
      <c r="AC35" s="96" t="s">
        <v>536</v>
      </c>
    </row>
    <row r="36" spans="1:29" ht="31.5" x14ac:dyDescent="0.25">
      <c r="A36" s="41" t="s">
        <v>157</v>
      </c>
      <c r="B36" s="168" t="s">
        <v>156</v>
      </c>
      <c r="C36" s="96">
        <v>0</v>
      </c>
      <c r="D36" s="98" t="s">
        <v>536</v>
      </c>
      <c r="E36" s="96">
        <f t="shared" si="2"/>
        <v>0</v>
      </c>
      <c r="F36" s="287">
        <v>0</v>
      </c>
      <c r="G36" s="98">
        <f t="shared" si="3"/>
        <v>0</v>
      </c>
      <c r="H36" s="98">
        <f>'6.2. Паспорт фин осв ввод факт'!T36</f>
        <v>0</v>
      </c>
      <c r="I36" s="98">
        <v>0</v>
      </c>
      <c r="J36" s="98" t="s">
        <v>536</v>
      </c>
      <c r="K36" s="98" t="s">
        <v>536</v>
      </c>
      <c r="L36" s="98">
        <f t="shared" si="5"/>
        <v>0</v>
      </c>
      <c r="M36" s="98">
        <v>0</v>
      </c>
      <c r="N36" s="98" t="s">
        <v>536</v>
      </c>
      <c r="O36" s="98" t="s">
        <v>536</v>
      </c>
      <c r="P36" s="98">
        <v>0</v>
      </c>
      <c r="Q36" s="98">
        <v>0</v>
      </c>
      <c r="R36" s="98" t="s">
        <v>536</v>
      </c>
      <c r="S36" s="98" t="s">
        <v>536</v>
      </c>
      <c r="T36" s="98">
        <v>0</v>
      </c>
      <c r="U36" s="98">
        <v>0</v>
      </c>
      <c r="V36" s="98" t="s">
        <v>536</v>
      </c>
      <c r="W36" s="98" t="s">
        <v>536</v>
      </c>
      <c r="X36" s="96">
        <f t="shared" si="6"/>
        <v>0</v>
      </c>
      <c r="Y36" s="98">
        <v>0</v>
      </c>
      <c r="Z36" s="98" t="s">
        <v>536</v>
      </c>
      <c r="AA36" s="98" t="s">
        <v>536</v>
      </c>
      <c r="AB36" s="96">
        <f t="shared" si="4"/>
        <v>0</v>
      </c>
      <c r="AC36" s="96" t="s">
        <v>536</v>
      </c>
    </row>
    <row r="37" spans="1:29" x14ac:dyDescent="0.25">
      <c r="A37" s="41" t="s">
        <v>155</v>
      </c>
      <c r="B37" s="168" t="s">
        <v>145</v>
      </c>
      <c r="C37" s="96">
        <v>0</v>
      </c>
      <c r="D37" s="98" t="s">
        <v>536</v>
      </c>
      <c r="E37" s="96">
        <f t="shared" si="2"/>
        <v>0</v>
      </c>
      <c r="F37" s="287">
        <v>0</v>
      </c>
      <c r="G37" s="98">
        <f t="shared" si="3"/>
        <v>0</v>
      </c>
      <c r="H37" s="98">
        <f>'6.2. Паспорт фин осв ввод факт'!T37</f>
        <v>0</v>
      </c>
      <c r="I37" s="98">
        <v>0</v>
      </c>
      <c r="J37" s="98" t="s">
        <v>536</v>
      </c>
      <c r="K37" s="98" t="s">
        <v>536</v>
      </c>
      <c r="L37" s="98">
        <f t="shared" si="5"/>
        <v>0</v>
      </c>
      <c r="M37" s="98">
        <v>0</v>
      </c>
      <c r="N37" s="98" t="s">
        <v>536</v>
      </c>
      <c r="O37" s="98" t="s">
        <v>536</v>
      </c>
      <c r="P37" s="98">
        <v>0</v>
      </c>
      <c r="Q37" s="98">
        <v>0</v>
      </c>
      <c r="R37" s="98" t="s">
        <v>536</v>
      </c>
      <c r="S37" s="98" t="s">
        <v>536</v>
      </c>
      <c r="T37" s="98">
        <v>0</v>
      </c>
      <c r="U37" s="98">
        <v>0</v>
      </c>
      <c r="V37" s="98" t="s">
        <v>536</v>
      </c>
      <c r="W37" s="98" t="s">
        <v>536</v>
      </c>
      <c r="X37" s="96">
        <v>0</v>
      </c>
      <c r="Y37" s="98">
        <v>0</v>
      </c>
      <c r="Z37" s="98" t="s">
        <v>536</v>
      </c>
      <c r="AA37" s="98" t="s">
        <v>536</v>
      </c>
      <c r="AB37" s="96">
        <f t="shared" si="4"/>
        <v>0</v>
      </c>
      <c r="AC37" s="96" t="s">
        <v>536</v>
      </c>
    </row>
    <row r="38" spans="1:29" x14ac:dyDescent="0.25">
      <c r="A38" s="41" t="s">
        <v>154</v>
      </c>
      <c r="B38" s="168" t="s">
        <v>143</v>
      </c>
      <c r="C38" s="96">
        <v>0</v>
      </c>
      <c r="D38" s="98" t="s">
        <v>536</v>
      </c>
      <c r="E38" s="96">
        <f t="shared" si="2"/>
        <v>0</v>
      </c>
      <c r="F38" s="287">
        <v>0</v>
      </c>
      <c r="G38" s="98">
        <f t="shared" si="3"/>
        <v>0</v>
      </c>
      <c r="H38" s="98">
        <f>'6.2. Паспорт фин осв ввод факт'!T38</f>
        <v>0</v>
      </c>
      <c r="I38" s="98">
        <v>0</v>
      </c>
      <c r="J38" s="98" t="s">
        <v>536</v>
      </c>
      <c r="K38" s="98" t="s">
        <v>536</v>
      </c>
      <c r="L38" s="98">
        <f t="shared" si="5"/>
        <v>0</v>
      </c>
      <c r="M38" s="98">
        <v>0</v>
      </c>
      <c r="N38" s="98" t="s">
        <v>536</v>
      </c>
      <c r="O38" s="98" t="s">
        <v>536</v>
      </c>
      <c r="P38" s="98">
        <v>0</v>
      </c>
      <c r="Q38" s="98">
        <v>0</v>
      </c>
      <c r="R38" s="98" t="s">
        <v>536</v>
      </c>
      <c r="S38" s="98" t="s">
        <v>536</v>
      </c>
      <c r="T38" s="98">
        <v>0</v>
      </c>
      <c r="U38" s="98">
        <v>0</v>
      </c>
      <c r="V38" s="98" t="s">
        <v>536</v>
      </c>
      <c r="W38" s="98" t="s">
        <v>536</v>
      </c>
      <c r="X38" s="96">
        <f t="shared" si="6"/>
        <v>0</v>
      </c>
      <c r="Y38" s="98">
        <v>0</v>
      </c>
      <c r="Z38" s="98" t="s">
        <v>536</v>
      </c>
      <c r="AA38" s="98" t="s">
        <v>536</v>
      </c>
      <c r="AB38" s="96">
        <f t="shared" si="4"/>
        <v>0</v>
      </c>
      <c r="AC38" s="96" t="s">
        <v>536</v>
      </c>
    </row>
    <row r="39" spans="1:29" ht="31.5" x14ac:dyDescent="0.25">
      <c r="A39" s="41" t="s">
        <v>153</v>
      </c>
      <c r="B39" s="25" t="s">
        <v>141</v>
      </c>
      <c r="C39" s="96">
        <v>0</v>
      </c>
      <c r="D39" s="98" t="s">
        <v>536</v>
      </c>
      <c r="E39" s="96">
        <f t="shared" si="2"/>
        <v>0</v>
      </c>
      <c r="F39" s="287">
        <v>0</v>
      </c>
      <c r="G39" s="98">
        <f t="shared" si="3"/>
        <v>0</v>
      </c>
      <c r="H39" s="98">
        <f>'6.2. Паспорт фин осв ввод факт'!T39</f>
        <v>0</v>
      </c>
      <c r="I39" s="98">
        <v>0</v>
      </c>
      <c r="J39" s="98" t="s">
        <v>536</v>
      </c>
      <c r="K39" s="98" t="s">
        <v>536</v>
      </c>
      <c r="L39" s="98">
        <f t="shared" si="5"/>
        <v>0</v>
      </c>
      <c r="M39" s="98">
        <v>0</v>
      </c>
      <c r="N39" s="98" t="s">
        <v>536</v>
      </c>
      <c r="O39" s="98" t="s">
        <v>536</v>
      </c>
      <c r="P39" s="98">
        <v>0</v>
      </c>
      <c r="Q39" s="98">
        <v>0</v>
      </c>
      <c r="R39" s="98" t="s">
        <v>536</v>
      </c>
      <c r="S39" s="98" t="s">
        <v>536</v>
      </c>
      <c r="T39" s="98">
        <v>0</v>
      </c>
      <c r="U39" s="98">
        <v>0</v>
      </c>
      <c r="V39" s="98" t="s">
        <v>536</v>
      </c>
      <c r="W39" s="98" t="s">
        <v>536</v>
      </c>
      <c r="X39" s="96">
        <f t="shared" si="6"/>
        <v>0</v>
      </c>
      <c r="Y39" s="98">
        <v>0</v>
      </c>
      <c r="Z39" s="98" t="s">
        <v>536</v>
      </c>
      <c r="AA39" s="98" t="s">
        <v>536</v>
      </c>
      <c r="AB39" s="96">
        <f t="shared" si="4"/>
        <v>0</v>
      </c>
      <c r="AC39" s="96" t="s">
        <v>536</v>
      </c>
    </row>
    <row r="40" spans="1:29" ht="31.5" x14ac:dyDescent="0.25">
      <c r="A40" s="41" t="s">
        <v>152</v>
      </c>
      <c r="B40" s="25" t="s">
        <v>139</v>
      </c>
      <c r="C40" s="96">
        <v>0</v>
      </c>
      <c r="D40" s="98" t="s">
        <v>536</v>
      </c>
      <c r="E40" s="96">
        <f t="shared" si="2"/>
        <v>0</v>
      </c>
      <c r="F40" s="287">
        <v>0</v>
      </c>
      <c r="G40" s="98">
        <f t="shared" si="3"/>
        <v>0</v>
      </c>
      <c r="H40" s="98">
        <f>'6.2. Паспорт фин осв ввод факт'!T40</f>
        <v>0</v>
      </c>
      <c r="I40" s="98">
        <v>0</v>
      </c>
      <c r="J40" s="98" t="s">
        <v>536</v>
      </c>
      <c r="K40" s="98" t="s">
        <v>536</v>
      </c>
      <c r="L40" s="98">
        <f t="shared" si="5"/>
        <v>0</v>
      </c>
      <c r="M40" s="98">
        <v>0</v>
      </c>
      <c r="N40" s="98" t="s">
        <v>536</v>
      </c>
      <c r="O40" s="98" t="s">
        <v>536</v>
      </c>
      <c r="P40" s="98">
        <v>0</v>
      </c>
      <c r="Q40" s="98">
        <v>0</v>
      </c>
      <c r="R40" s="98" t="s">
        <v>536</v>
      </c>
      <c r="S40" s="98" t="s">
        <v>536</v>
      </c>
      <c r="T40" s="98">
        <v>0</v>
      </c>
      <c r="U40" s="98">
        <v>0</v>
      </c>
      <c r="V40" s="98" t="s">
        <v>536</v>
      </c>
      <c r="W40" s="98" t="s">
        <v>536</v>
      </c>
      <c r="X40" s="96">
        <f t="shared" si="6"/>
        <v>0</v>
      </c>
      <c r="Y40" s="98">
        <v>0</v>
      </c>
      <c r="Z40" s="98" t="s">
        <v>536</v>
      </c>
      <c r="AA40" s="98" t="s">
        <v>536</v>
      </c>
      <c r="AB40" s="96">
        <f t="shared" si="4"/>
        <v>0</v>
      </c>
      <c r="AC40" s="96" t="s">
        <v>536</v>
      </c>
    </row>
    <row r="41" spans="1:29" x14ac:dyDescent="0.25">
      <c r="A41" s="41" t="s">
        <v>151</v>
      </c>
      <c r="B41" s="25" t="s">
        <v>137</v>
      </c>
      <c r="C41" s="96">
        <v>0</v>
      </c>
      <c r="D41" s="98" t="s">
        <v>536</v>
      </c>
      <c r="E41" s="96">
        <f t="shared" si="2"/>
        <v>0</v>
      </c>
      <c r="F41" s="287">
        <v>0</v>
      </c>
      <c r="G41" s="98">
        <f t="shared" si="3"/>
        <v>0</v>
      </c>
      <c r="H41" s="98">
        <f>'6.2. Паспорт фин осв ввод факт'!T41</f>
        <v>0</v>
      </c>
      <c r="I41" s="98">
        <v>0</v>
      </c>
      <c r="J41" s="98" t="s">
        <v>536</v>
      </c>
      <c r="K41" s="98" t="s">
        <v>536</v>
      </c>
      <c r="L41" s="98">
        <f t="shared" si="5"/>
        <v>0</v>
      </c>
      <c r="M41" s="98">
        <v>0</v>
      </c>
      <c r="N41" s="98" t="s">
        <v>536</v>
      </c>
      <c r="O41" s="98" t="s">
        <v>536</v>
      </c>
      <c r="P41" s="98">
        <v>0</v>
      </c>
      <c r="Q41" s="98">
        <v>0</v>
      </c>
      <c r="R41" s="98" t="s">
        <v>536</v>
      </c>
      <c r="S41" s="98" t="s">
        <v>536</v>
      </c>
      <c r="T41" s="98">
        <v>0</v>
      </c>
      <c r="U41" s="98">
        <v>0</v>
      </c>
      <c r="V41" s="98" t="s">
        <v>536</v>
      </c>
      <c r="W41" s="98" t="s">
        <v>536</v>
      </c>
      <c r="X41" s="96">
        <f t="shared" si="6"/>
        <v>0</v>
      </c>
      <c r="Y41" s="98">
        <v>0</v>
      </c>
      <c r="Z41" s="98" t="s">
        <v>536</v>
      </c>
      <c r="AA41" s="98" t="s">
        <v>536</v>
      </c>
      <c r="AB41" s="96">
        <f t="shared" si="4"/>
        <v>0</v>
      </c>
      <c r="AC41" s="96" t="s">
        <v>536</v>
      </c>
    </row>
    <row r="42" spans="1:29" ht="18.75" x14ac:dyDescent="0.25">
      <c r="A42" s="41" t="s">
        <v>150</v>
      </c>
      <c r="B42" s="168" t="s">
        <v>542</v>
      </c>
      <c r="C42" s="96">
        <v>7</v>
      </c>
      <c r="D42" s="98" t="s">
        <v>536</v>
      </c>
      <c r="E42" s="96">
        <f t="shared" si="2"/>
        <v>7</v>
      </c>
      <c r="F42" s="287">
        <v>7</v>
      </c>
      <c r="G42" s="98">
        <f t="shared" si="3"/>
        <v>0</v>
      </c>
      <c r="H42" s="98">
        <f>'6.2. Паспорт фин осв ввод факт'!T42</f>
        <v>0</v>
      </c>
      <c r="I42" s="98">
        <v>0</v>
      </c>
      <c r="J42" s="98" t="s">
        <v>536</v>
      </c>
      <c r="K42" s="98" t="s">
        <v>536</v>
      </c>
      <c r="L42" s="98">
        <f t="shared" si="5"/>
        <v>7</v>
      </c>
      <c r="M42" s="98">
        <v>0</v>
      </c>
      <c r="N42" s="98" t="s">
        <v>536</v>
      </c>
      <c r="O42" s="98" t="s">
        <v>536</v>
      </c>
      <c r="P42" s="98">
        <v>0</v>
      </c>
      <c r="Q42" s="98">
        <v>0</v>
      </c>
      <c r="R42" s="98" t="s">
        <v>536</v>
      </c>
      <c r="S42" s="98" t="s">
        <v>536</v>
      </c>
      <c r="T42" s="98">
        <v>0</v>
      </c>
      <c r="U42" s="98">
        <v>0</v>
      </c>
      <c r="V42" s="98" t="s">
        <v>536</v>
      </c>
      <c r="W42" s="98" t="s">
        <v>536</v>
      </c>
      <c r="X42" s="96">
        <v>0</v>
      </c>
      <c r="Y42" s="98">
        <v>0</v>
      </c>
      <c r="Z42" s="98" t="s">
        <v>536</v>
      </c>
      <c r="AA42" s="98" t="s">
        <v>536</v>
      </c>
      <c r="AB42" s="96">
        <f t="shared" si="4"/>
        <v>7</v>
      </c>
      <c r="AC42" s="96" t="s">
        <v>536</v>
      </c>
    </row>
    <row r="43" spans="1:29" s="282" customFormat="1" x14ac:dyDescent="0.25">
      <c r="A43" s="44" t="s">
        <v>59</v>
      </c>
      <c r="B43" s="43" t="s">
        <v>149</v>
      </c>
      <c r="C43" s="96">
        <v>0</v>
      </c>
      <c r="D43" s="98" t="s">
        <v>536</v>
      </c>
      <c r="E43" s="96">
        <f t="shared" si="2"/>
        <v>0</v>
      </c>
      <c r="F43" s="287">
        <v>0</v>
      </c>
      <c r="G43" s="98">
        <f t="shared" si="3"/>
        <v>0</v>
      </c>
      <c r="H43" s="96">
        <f>'6.2. Паспорт фин осв ввод факт'!T43</f>
        <v>0</v>
      </c>
      <c r="I43" s="96">
        <v>0</v>
      </c>
      <c r="J43" s="98" t="s">
        <v>536</v>
      </c>
      <c r="K43" s="98" t="s">
        <v>536</v>
      </c>
      <c r="L43" s="98">
        <f t="shared" si="5"/>
        <v>0</v>
      </c>
      <c r="M43" s="96">
        <v>0</v>
      </c>
      <c r="N43" s="98" t="s">
        <v>536</v>
      </c>
      <c r="O43" s="98" t="s">
        <v>536</v>
      </c>
      <c r="P43" s="96">
        <v>0</v>
      </c>
      <c r="Q43" s="96">
        <v>0</v>
      </c>
      <c r="R43" s="98" t="s">
        <v>536</v>
      </c>
      <c r="S43" s="98" t="s">
        <v>536</v>
      </c>
      <c r="T43" s="96">
        <v>0</v>
      </c>
      <c r="U43" s="96">
        <v>0</v>
      </c>
      <c r="V43" s="98" t="s">
        <v>536</v>
      </c>
      <c r="W43" s="98" t="s">
        <v>536</v>
      </c>
      <c r="X43" s="96">
        <f>C43</f>
        <v>0</v>
      </c>
      <c r="Y43" s="96">
        <v>0</v>
      </c>
      <c r="Z43" s="98" t="s">
        <v>536</v>
      </c>
      <c r="AA43" s="98" t="s">
        <v>536</v>
      </c>
      <c r="AB43" s="96">
        <f t="shared" si="4"/>
        <v>0</v>
      </c>
      <c r="AC43" s="96" t="s">
        <v>536</v>
      </c>
    </row>
    <row r="44" spans="1:29" x14ac:dyDescent="0.25">
      <c r="A44" s="41" t="s">
        <v>148</v>
      </c>
      <c r="B44" s="25" t="s">
        <v>147</v>
      </c>
      <c r="C44" s="96">
        <v>0</v>
      </c>
      <c r="D44" s="98" t="s">
        <v>536</v>
      </c>
      <c r="E44" s="96">
        <f t="shared" si="2"/>
        <v>0</v>
      </c>
      <c r="F44" s="287">
        <v>0</v>
      </c>
      <c r="G44" s="98">
        <f t="shared" si="3"/>
        <v>0</v>
      </c>
      <c r="H44" s="98">
        <f>'6.2. Паспорт фин осв ввод факт'!T44</f>
        <v>0</v>
      </c>
      <c r="I44" s="98">
        <v>0</v>
      </c>
      <c r="J44" s="98" t="s">
        <v>536</v>
      </c>
      <c r="K44" s="98" t="s">
        <v>536</v>
      </c>
      <c r="L44" s="98">
        <f t="shared" si="5"/>
        <v>0</v>
      </c>
      <c r="M44" s="98">
        <v>0</v>
      </c>
      <c r="N44" s="98" t="s">
        <v>536</v>
      </c>
      <c r="O44" s="98" t="s">
        <v>536</v>
      </c>
      <c r="P44" s="98">
        <v>0</v>
      </c>
      <c r="Q44" s="98">
        <v>0</v>
      </c>
      <c r="R44" s="98" t="s">
        <v>536</v>
      </c>
      <c r="S44" s="98" t="s">
        <v>536</v>
      </c>
      <c r="T44" s="98">
        <v>0</v>
      </c>
      <c r="U44" s="98">
        <v>0</v>
      </c>
      <c r="V44" s="98" t="s">
        <v>536</v>
      </c>
      <c r="W44" s="98" t="s">
        <v>536</v>
      </c>
      <c r="X44" s="96">
        <f t="shared" ref="X44:X63" si="7">C44</f>
        <v>0</v>
      </c>
      <c r="Y44" s="98">
        <v>0</v>
      </c>
      <c r="Z44" s="98" t="s">
        <v>536</v>
      </c>
      <c r="AA44" s="98" t="s">
        <v>536</v>
      </c>
      <c r="AB44" s="96">
        <f t="shared" si="4"/>
        <v>0</v>
      </c>
      <c r="AC44" s="96" t="s">
        <v>536</v>
      </c>
    </row>
    <row r="45" spans="1:29" x14ac:dyDescent="0.25">
      <c r="A45" s="41" t="s">
        <v>146</v>
      </c>
      <c r="B45" s="25" t="s">
        <v>145</v>
      </c>
      <c r="C45" s="96">
        <f>C37</f>
        <v>0</v>
      </c>
      <c r="D45" s="98" t="s">
        <v>536</v>
      </c>
      <c r="E45" s="96">
        <f t="shared" si="2"/>
        <v>0</v>
      </c>
      <c r="F45" s="287">
        <v>0</v>
      </c>
      <c r="G45" s="98">
        <f t="shared" si="3"/>
        <v>0</v>
      </c>
      <c r="H45" s="98">
        <f>'6.2. Паспорт фин осв ввод факт'!T45</f>
        <v>0</v>
      </c>
      <c r="I45" s="98">
        <v>0</v>
      </c>
      <c r="J45" s="98" t="s">
        <v>536</v>
      </c>
      <c r="K45" s="98" t="s">
        <v>536</v>
      </c>
      <c r="L45" s="98">
        <f t="shared" si="5"/>
        <v>0</v>
      </c>
      <c r="M45" s="98">
        <v>0</v>
      </c>
      <c r="N45" s="98" t="s">
        <v>536</v>
      </c>
      <c r="O45" s="98" t="s">
        <v>536</v>
      </c>
      <c r="P45" s="98">
        <v>0</v>
      </c>
      <c r="Q45" s="98">
        <v>0</v>
      </c>
      <c r="R45" s="98" t="s">
        <v>536</v>
      </c>
      <c r="S45" s="98" t="s">
        <v>536</v>
      </c>
      <c r="T45" s="98">
        <v>0</v>
      </c>
      <c r="U45" s="98">
        <v>0</v>
      </c>
      <c r="V45" s="98" t="s">
        <v>536</v>
      </c>
      <c r="W45" s="98" t="s">
        <v>536</v>
      </c>
      <c r="X45" s="96">
        <v>0</v>
      </c>
      <c r="Y45" s="98">
        <v>0</v>
      </c>
      <c r="Z45" s="98" t="s">
        <v>536</v>
      </c>
      <c r="AA45" s="98" t="s">
        <v>536</v>
      </c>
      <c r="AB45" s="96">
        <f t="shared" si="4"/>
        <v>0</v>
      </c>
      <c r="AC45" s="96" t="s">
        <v>536</v>
      </c>
    </row>
    <row r="46" spans="1:29" x14ac:dyDescent="0.25">
      <c r="A46" s="41" t="s">
        <v>144</v>
      </c>
      <c r="B46" s="25" t="s">
        <v>143</v>
      </c>
      <c r="C46" s="96">
        <v>0</v>
      </c>
      <c r="D46" s="98" t="s">
        <v>536</v>
      </c>
      <c r="E46" s="96">
        <f t="shared" si="2"/>
        <v>0</v>
      </c>
      <c r="F46" s="287">
        <v>0</v>
      </c>
      <c r="G46" s="98">
        <f t="shared" si="3"/>
        <v>0</v>
      </c>
      <c r="H46" s="98">
        <f>'6.2. Паспорт фин осв ввод факт'!T46</f>
        <v>0</v>
      </c>
      <c r="I46" s="98">
        <v>0</v>
      </c>
      <c r="J46" s="98" t="s">
        <v>536</v>
      </c>
      <c r="K46" s="98" t="s">
        <v>536</v>
      </c>
      <c r="L46" s="98">
        <f t="shared" si="5"/>
        <v>0</v>
      </c>
      <c r="M46" s="98">
        <v>0</v>
      </c>
      <c r="N46" s="98" t="s">
        <v>536</v>
      </c>
      <c r="O46" s="98" t="s">
        <v>536</v>
      </c>
      <c r="P46" s="98">
        <v>0</v>
      </c>
      <c r="Q46" s="98">
        <v>0</v>
      </c>
      <c r="R46" s="98" t="s">
        <v>536</v>
      </c>
      <c r="S46" s="98" t="s">
        <v>536</v>
      </c>
      <c r="T46" s="98">
        <v>0</v>
      </c>
      <c r="U46" s="98">
        <v>0</v>
      </c>
      <c r="V46" s="98" t="s">
        <v>536</v>
      </c>
      <c r="W46" s="98" t="s">
        <v>536</v>
      </c>
      <c r="X46" s="96">
        <f t="shared" si="7"/>
        <v>0</v>
      </c>
      <c r="Y46" s="98">
        <v>0</v>
      </c>
      <c r="Z46" s="98" t="s">
        <v>536</v>
      </c>
      <c r="AA46" s="98" t="s">
        <v>536</v>
      </c>
      <c r="AB46" s="96">
        <f t="shared" si="4"/>
        <v>0</v>
      </c>
      <c r="AC46" s="96" t="s">
        <v>536</v>
      </c>
    </row>
    <row r="47" spans="1:29" ht="31.5" x14ac:dyDescent="0.25">
      <c r="A47" s="41" t="s">
        <v>142</v>
      </c>
      <c r="B47" s="25" t="s">
        <v>141</v>
      </c>
      <c r="C47" s="96">
        <v>0</v>
      </c>
      <c r="D47" s="98" t="s">
        <v>536</v>
      </c>
      <c r="E47" s="96">
        <f t="shared" si="2"/>
        <v>0</v>
      </c>
      <c r="F47" s="287">
        <v>0</v>
      </c>
      <c r="G47" s="98">
        <f t="shared" si="3"/>
        <v>0</v>
      </c>
      <c r="H47" s="98">
        <f>'6.2. Паспорт фин осв ввод факт'!T47</f>
        <v>0</v>
      </c>
      <c r="I47" s="98">
        <v>0</v>
      </c>
      <c r="J47" s="98" t="s">
        <v>536</v>
      </c>
      <c r="K47" s="98" t="s">
        <v>536</v>
      </c>
      <c r="L47" s="98">
        <f t="shared" si="5"/>
        <v>0</v>
      </c>
      <c r="M47" s="98">
        <v>0</v>
      </c>
      <c r="N47" s="98" t="s">
        <v>536</v>
      </c>
      <c r="O47" s="98" t="s">
        <v>536</v>
      </c>
      <c r="P47" s="98">
        <v>0</v>
      </c>
      <c r="Q47" s="98">
        <v>0</v>
      </c>
      <c r="R47" s="98" t="s">
        <v>536</v>
      </c>
      <c r="S47" s="98" t="s">
        <v>536</v>
      </c>
      <c r="T47" s="98">
        <v>0</v>
      </c>
      <c r="U47" s="98">
        <v>0</v>
      </c>
      <c r="V47" s="98" t="s">
        <v>536</v>
      </c>
      <c r="W47" s="98" t="s">
        <v>536</v>
      </c>
      <c r="X47" s="96">
        <f t="shared" si="7"/>
        <v>0</v>
      </c>
      <c r="Y47" s="98">
        <v>0</v>
      </c>
      <c r="Z47" s="98" t="s">
        <v>536</v>
      </c>
      <c r="AA47" s="98" t="s">
        <v>536</v>
      </c>
      <c r="AB47" s="96">
        <f t="shared" si="4"/>
        <v>0</v>
      </c>
      <c r="AC47" s="96" t="s">
        <v>536</v>
      </c>
    </row>
    <row r="48" spans="1:29" ht="31.5" x14ac:dyDescent="0.25">
      <c r="A48" s="41" t="s">
        <v>140</v>
      </c>
      <c r="B48" s="25" t="s">
        <v>139</v>
      </c>
      <c r="C48" s="96">
        <v>0</v>
      </c>
      <c r="D48" s="98" t="s">
        <v>536</v>
      </c>
      <c r="E48" s="96">
        <f t="shared" si="2"/>
        <v>0</v>
      </c>
      <c r="F48" s="287">
        <v>0</v>
      </c>
      <c r="G48" s="98">
        <f t="shared" si="3"/>
        <v>0</v>
      </c>
      <c r="H48" s="98">
        <f>'6.2. Паспорт фин осв ввод факт'!T48</f>
        <v>0</v>
      </c>
      <c r="I48" s="98">
        <v>0</v>
      </c>
      <c r="J48" s="98" t="s">
        <v>536</v>
      </c>
      <c r="K48" s="98" t="s">
        <v>536</v>
      </c>
      <c r="L48" s="98">
        <f t="shared" si="5"/>
        <v>0</v>
      </c>
      <c r="M48" s="98">
        <v>0</v>
      </c>
      <c r="N48" s="98" t="s">
        <v>536</v>
      </c>
      <c r="O48" s="98" t="s">
        <v>536</v>
      </c>
      <c r="P48" s="98">
        <v>0</v>
      </c>
      <c r="Q48" s="98">
        <v>0</v>
      </c>
      <c r="R48" s="98" t="s">
        <v>536</v>
      </c>
      <c r="S48" s="98" t="s">
        <v>536</v>
      </c>
      <c r="T48" s="98">
        <v>0</v>
      </c>
      <c r="U48" s="98">
        <v>0</v>
      </c>
      <c r="V48" s="98" t="s">
        <v>536</v>
      </c>
      <c r="W48" s="98" t="s">
        <v>536</v>
      </c>
      <c r="X48" s="96">
        <f t="shared" si="7"/>
        <v>0</v>
      </c>
      <c r="Y48" s="98">
        <v>0</v>
      </c>
      <c r="Z48" s="98" t="s">
        <v>536</v>
      </c>
      <c r="AA48" s="98" t="s">
        <v>536</v>
      </c>
      <c r="AB48" s="96">
        <f t="shared" si="4"/>
        <v>0</v>
      </c>
      <c r="AC48" s="96" t="s">
        <v>536</v>
      </c>
    </row>
    <row r="49" spans="1:29" x14ac:dyDescent="0.25">
      <c r="A49" s="41" t="s">
        <v>138</v>
      </c>
      <c r="B49" s="25" t="s">
        <v>137</v>
      </c>
      <c r="C49" s="96">
        <v>0</v>
      </c>
      <c r="D49" s="98" t="s">
        <v>536</v>
      </c>
      <c r="E49" s="96">
        <f t="shared" si="2"/>
        <v>0</v>
      </c>
      <c r="F49" s="287">
        <v>0</v>
      </c>
      <c r="G49" s="98">
        <f t="shared" si="3"/>
        <v>0</v>
      </c>
      <c r="H49" s="98">
        <f>'6.2. Паспорт фин осв ввод факт'!T49</f>
        <v>0</v>
      </c>
      <c r="I49" s="98">
        <v>0</v>
      </c>
      <c r="J49" s="98" t="s">
        <v>536</v>
      </c>
      <c r="K49" s="98" t="s">
        <v>536</v>
      </c>
      <c r="L49" s="98">
        <f t="shared" si="5"/>
        <v>0</v>
      </c>
      <c r="M49" s="98">
        <v>0</v>
      </c>
      <c r="N49" s="98" t="s">
        <v>536</v>
      </c>
      <c r="O49" s="98" t="s">
        <v>536</v>
      </c>
      <c r="P49" s="98">
        <v>0</v>
      </c>
      <c r="Q49" s="98">
        <v>0</v>
      </c>
      <c r="R49" s="98" t="s">
        <v>536</v>
      </c>
      <c r="S49" s="98" t="s">
        <v>536</v>
      </c>
      <c r="T49" s="98">
        <v>0</v>
      </c>
      <c r="U49" s="98">
        <v>0</v>
      </c>
      <c r="V49" s="98" t="s">
        <v>536</v>
      </c>
      <c r="W49" s="98" t="s">
        <v>536</v>
      </c>
      <c r="X49" s="96">
        <f t="shared" si="7"/>
        <v>0</v>
      </c>
      <c r="Y49" s="98">
        <v>0</v>
      </c>
      <c r="Z49" s="98" t="s">
        <v>536</v>
      </c>
      <c r="AA49" s="98" t="s">
        <v>536</v>
      </c>
      <c r="AB49" s="96">
        <f t="shared" si="4"/>
        <v>0</v>
      </c>
      <c r="AC49" s="96" t="s">
        <v>536</v>
      </c>
    </row>
    <row r="50" spans="1:29" ht="18.75" x14ac:dyDescent="0.25">
      <c r="A50" s="41" t="s">
        <v>136</v>
      </c>
      <c r="B50" s="168" t="s">
        <v>542</v>
      </c>
      <c r="C50" s="96">
        <f>C42</f>
        <v>7</v>
      </c>
      <c r="D50" s="98" t="s">
        <v>536</v>
      </c>
      <c r="E50" s="96">
        <f t="shared" si="2"/>
        <v>7</v>
      </c>
      <c r="F50" s="287">
        <v>7</v>
      </c>
      <c r="G50" s="98">
        <f t="shared" si="3"/>
        <v>0</v>
      </c>
      <c r="H50" s="98">
        <f>'6.2. Паспорт фин осв ввод факт'!T50</f>
        <v>0</v>
      </c>
      <c r="I50" s="98">
        <v>0</v>
      </c>
      <c r="J50" s="98" t="s">
        <v>536</v>
      </c>
      <c r="K50" s="98" t="s">
        <v>536</v>
      </c>
      <c r="L50" s="98">
        <f>C50</f>
        <v>7</v>
      </c>
      <c r="M50" s="98">
        <v>0</v>
      </c>
      <c r="N50" s="98" t="s">
        <v>536</v>
      </c>
      <c r="O50" s="98" t="s">
        <v>536</v>
      </c>
      <c r="P50" s="98">
        <v>0</v>
      </c>
      <c r="Q50" s="98">
        <v>0</v>
      </c>
      <c r="R50" s="98" t="s">
        <v>536</v>
      </c>
      <c r="S50" s="98" t="s">
        <v>536</v>
      </c>
      <c r="T50" s="98">
        <v>0</v>
      </c>
      <c r="U50" s="98">
        <v>0</v>
      </c>
      <c r="V50" s="98" t="s">
        <v>536</v>
      </c>
      <c r="W50" s="98" t="s">
        <v>536</v>
      </c>
      <c r="X50" s="96">
        <v>0</v>
      </c>
      <c r="Y50" s="98">
        <v>0</v>
      </c>
      <c r="Z50" s="98" t="s">
        <v>536</v>
      </c>
      <c r="AA50" s="98" t="s">
        <v>536</v>
      </c>
      <c r="AB50" s="96">
        <f t="shared" si="4"/>
        <v>7</v>
      </c>
      <c r="AC50" s="96" t="s">
        <v>536</v>
      </c>
    </row>
    <row r="51" spans="1:29" s="282" customFormat="1" ht="35.25" customHeight="1" x14ac:dyDescent="0.25">
      <c r="A51" s="44" t="s">
        <v>57</v>
      </c>
      <c r="B51" s="43" t="s">
        <v>135</v>
      </c>
      <c r="C51" s="96">
        <v>0</v>
      </c>
      <c r="D51" s="98" t="s">
        <v>536</v>
      </c>
      <c r="E51" s="96">
        <f t="shared" si="2"/>
        <v>0</v>
      </c>
      <c r="F51" s="287">
        <v>0</v>
      </c>
      <c r="G51" s="98">
        <f t="shared" si="3"/>
        <v>0</v>
      </c>
      <c r="H51" s="96">
        <f>'6.2. Паспорт фин осв ввод факт'!T51</f>
        <v>0</v>
      </c>
      <c r="I51" s="96">
        <v>0</v>
      </c>
      <c r="J51" s="98" t="s">
        <v>536</v>
      </c>
      <c r="K51" s="98" t="s">
        <v>536</v>
      </c>
      <c r="L51" s="96">
        <f>'6.2. Паспорт фин осв ввод факт'!X51</f>
        <v>0</v>
      </c>
      <c r="M51" s="96">
        <v>0</v>
      </c>
      <c r="N51" s="98" t="s">
        <v>536</v>
      </c>
      <c r="O51" s="98" t="s">
        <v>536</v>
      </c>
      <c r="P51" s="96">
        <v>0</v>
      </c>
      <c r="Q51" s="96">
        <v>0</v>
      </c>
      <c r="R51" s="98" t="s">
        <v>536</v>
      </c>
      <c r="S51" s="98" t="s">
        <v>536</v>
      </c>
      <c r="T51" s="96">
        <v>0</v>
      </c>
      <c r="U51" s="96">
        <v>0</v>
      </c>
      <c r="V51" s="98" t="s">
        <v>536</v>
      </c>
      <c r="W51" s="98" t="s">
        <v>536</v>
      </c>
      <c r="X51" s="96">
        <f t="shared" si="7"/>
        <v>0</v>
      </c>
      <c r="Y51" s="96">
        <v>0</v>
      </c>
      <c r="Z51" s="98" t="s">
        <v>536</v>
      </c>
      <c r="AA51" s="98" t="s">
        <v>536</v>
      </c>
      <c r="AB51" s="96">
        <f t="shared" si="4"/>
        <v>0</v>
      </c>
      <c r="AC51" s="96" t="s">
        <v>536</v>
      </c>
    </row>
    <row r="52" spans="1:29" x14ac:dyDescent="0.25">
      <c r="A52" s="41" t="s">
        <v>134</v>
      </c>
      <c r="B52" s="25" t="s">
        <v>133</v>
      </c>
      <c r="C52" s="96">
        <f>C30</f>
        <v>23.323372600669998</v>
      </c>
      <c r="D52" s="98" t="s">
        <v>536</v>
      </c>
      <c r="E52" s="96">
        <f t="shared" si="2"/>
        <v>23.323372600669998</v>
      </c>
      <c r="F52" s="287">
        <v>23.323372600669998</v>
      </c>
      <c r="G52" s="98">
        <f t="shared" si="3"/>
        <v>0</v>
      </c>
      <c r="H52" s="98">
        <f>'6.2. Паспорт фин осв ввод факт'!T52</f>
        <v>0</v>
      </c>
      <c r="I52" s="98">
        <v>0</v>
      </c>
      <c r="J52" s="98" t="s">
        <v>536</v>
      </c>
      <c r="K52" s="98" t="s">
        <v>536</v>
      </c>
      <c r="L52" s="98">
        <f t="shared" ref="L52:L56" si="8">C52</f>
        <v>23.323372600669998</v>
      </c>
      <c r="M52" s="98">
        <v>4</v>
      </c>
      <c r="N52" s="98" t="s">
        <v>536</v>
      </c>
      <c r="O52" s="98" t="s">
        <v>536</v>
      </c>
      <c r="P52" s="98">
        <v>0</v>
      </c>
      <c r="Q52" s="98">
        <v>0</v>
      </c>
      <c r="R52" s="98" t="s">
        <v>536</v>
      </c>
      <c r="S52" s="98" t="s">
        <v>536</v>
      </c>
      <c r="T52" s="98">
        <v>0</v>
      </c>
      <c r="U52" s="98">
        <v>0</v>
      </c>
      <c r="V52" s="98" t="s">
        <v>536</v>
      </c>
      <c r="W52" s="98" t="s">
        <v>536</v>
      </c>
      <c r="X52" s="96">
        <v>0</v>
      </c>
      <c r="Y52" s="98">
        <v>0</v>
      </c>
      <c r="Z52" s="98" t="s">
        <v>536</v>
      </c>
      <c r="AA52" s="98" t="s">
        <v>536</v>
      </c>
      <c r="AB52" s="96">
        <f t="shared" si="4"/>
        <v>23.323372600669998</v>
      </c>
      <c r="AC52" s="96" t="s">
        <v>536</v>
      </c>
    </row>
    <row r="53" spans="1:29" x14ac:dyDescent="0.25">
      <c r="A53" s="41" t="s">
        <v>132</v>
      </c>
      <c r="B53" s="25" t="s">
        <v>126</v>
      </c>
      <c r="C53" s="96">
        <v>0</v>
      </c>
      <c r="D53" s="98" t="s">
        <v>536</v>
      </c>
      <c r="E53" s="96">
        <f t="shared" si="2"/>
        <v>0</v>
      </c>
      <c r="F53" s="287">
        <v>0</v>
      </c>
      <c r="G53" s="98">
        <f t="shared" si="3"/>
        <v>0</v>
      </c>
      <c r="H53" s="98">
        <f>'6.2. Паспорт фин осв ввод факт'!T53</f>
        <v>0</v>
      </c>
      <c r="I53" s="98">
        <v>0</v>
      </c>
      <c r="J53" s="98" t="s">
        <v>536</v>
      </c>
      <c r="K53" s="98" t="s">
        <v>536</v>
      </c>
      <c r="L53" s="98">
        <f t="shared" si="8"/>
        <v>0</v>
      </c>
      <c r="M53" s="98">
        <v>0</v>
      </c>
      <c r="N53" s="98" t="s">
        <v>536</v>
      </c>
      <c r="O53" s="98" t="s">
        <v>536</v>
      </c>
      <c r="P53" s="98">
        <v>0</v>
      </c>
      <c r="Q53" s="98">
        <v>0</v>
      </c>
      <c r="R53" s="98" t="s">
        <v>536</v>
      </c>
      <c r="S53" s="98" t="s">
        <v>536</v>
      </c>
      <c r="T53" s="98">
        <v>0</v>
      </c>
      <c r="U53" s="98">
        <v>0</v>
      </c>
      <c r="V53" s="98" t="s">
        <v>536</v>
      </c>
      <c r="W53" s="98" t="s">
        <v>536</v>
      </c>
      <c r="X53" s="96">
        <f t="shared" si="7"/>
        <v>0</v>
      </c>
      <c r="Y53" s="98">
        <v>0</v>
      </c>
      <c r="Z53" s="98" t="s">
        <v>536</v>
      </c>
      <c r="AA53" s="98" t="s">
        <v>536</v>
      </c>
      <c r="AB53" s="96">
        <f t="shared" si="4"/>
        <v>0</v>
      </c>
      <c r="AC53" s="96" t="s">
        <v>536</v>
      </c>
    </row>
    <row r="54" spans="1:29" x14ac:dyDescent="0.25">
      <c r="A54" s="41" t="s">
        <v>131</v>
      </c>
      <c r="B54" s="168" t="s">
        <v>125</v>
      </c>
      <c r="C54" s="96">
        <f>C45</f>
        <v>0</v>
      </c>
      <c r="D54" s="98" t="s">
        <v>536</v>
      </c>
      <c r="E54" s="96">
        <f t="shared" si="2"/>
        <v>0</v>
      </c>
      <c r="F54" s="287">
        <v>0</v>
      </c>
      <c r="G54" s="98">
        <f t="shared" si="3"/>
        <v>0</v>
      </c>
      <c r="H54" s="98">
        <f>'6.2. Паспорт фин осв ввод факт'!T54</f>
        <v>0</v>
      </c>
      <c r="I54" s="98">
        <v>0</v>
      </c>
      <c r="J54" s="98" t="s">
        <v>536</v>
      </c>
      <c r="K54" s="98" t="s">
        <v>536</v>
      </c>
      <c r="L54" s="98">
        <f t="shared" si="8"/>
        <v>0</v>
      </c>
      <c r="M54" s="98">
        <v>0</v>
      </c>
      <c r="N54" s="98" t="s">
        <v>536</v>
      </c>
      <c r="O54" s="98" t="s">
        <v>536</v>
      </c>
      <c r="P54" s="98">
        <v>0</v>
      </c>
      <c r="Q54" s="98">
        <v>0</v>
      </c>
      <c r="R54" s="98" t="s">
        <v>536</v>
      </c>
      <c r="S54" s="98" t="s">
        <v>536</v>
      </c>
      <c r="T54" s="98">
        <v>0</v>
      </c>
      <c r="U54" s="98">
        <v>0</v>
      </c>
      <c r="V54" s="98" t="s">
        <v>536</v>
      </c>
      <c r="W54" s="98" t="s">
        <v>536</v>
      </c>
      <c r="X54" s="96">
        <v>0</v>
      </c>
      <c r="Y54" s="98">
        <v>0</v>
      </c>
      <c r="Z54" s="98" t="s">
        <v>536</v>
      </c>
      <c r="AA54" s="98" t="s">
        <v>536</v>
      </c>
      <c r="AB54" s="96">
        <f t="shared" si="4"/>
        <v>0</v>
      </c>
      <c r="AC54" s="96" t="s">
        <v>536</v>
      </c>
    </row>
    <row r="55" spans="1:29" x14ac:dyDescent="0.25">
      <c r="A55" s="41" t="s">
        <v>130</v>
      </c>
      <c r="B55" s="168" t="s">
        <v>124</v>
      </c>
      <c r="C55" s="96">
        <v>0</v>
      </c>
      <c r="D55" s="98" t="s">
        <v>536</v>
      </c>
      <c r="E55" s="96">
        <f t="shared" si="2"/>
        <v>0</v>
      </c>
      <c r="F55" s="287">
        <v>0</v>
      </c>
      <c r="G55" s="98">
        <f t="shared" si="3"/>
        <v>0</v>
      </c>
      <c r="H55" s="98">
        <f>'6.2. Паспорт фин осв ввод факт'!T55</f>
        <v>0</v>
      </c>
      <c r="I55" s="98">
        <v>0</v>
      </c>
      <c r="J55" s="98" t="s">
        <v>536</v>
      </c>
      <c r="K55" s="98" t="s">
        <v>536</v>
      </c>
      <c r="L55" s="98">
        <f t="shared" si="8"/>
        <v>0</v>
      </c>
      <c r="M55" s="98">
        <v>0</v>
      </c>
      <c r="N55" s="98" t="s">
        <v>536</v>
      </c>
      <c r="O55" s="98" t="s">
        <v>536</v>
      </c>
      <c r="P55" s="98">
        <v>0</v>
      </c>
      <c r="Q55" s="98">
        <v>0</v>
      </c>
      <c r="R55" s="98" t="s">
        <v>536</v>
      </c>
      <c r="S55" s="98" t="s">
        <v>536</v>
      </c>
      <c r="T55" s="98">
        <v>0</v>
      </c>
      <c r="U55" s="98">
        <v>0</v>
      </c>
      <c r="V55" s="98" t="s">
        <v>536</v>
      </c>
      <c r="W55" s="98" t="s">
        <v>536</v>
      </c>
      <c r="X55" s="96">
        <f t="shared" si="7"/>
        <v>0</v>
      </c>
      <c r="Y55" s="98">
        <v>0</v>
      </c>
      <c r="Z55" s="98" t="s">
        <v>536</v>
      </c>
      <c r="AA55" s="98" t="s">
        <v>536</v>
      </c>
      <c r="AB55" s="96">
        <f t="shared" si="4"/>
        <v>0</v>
      </c>
      <c r="AC55" s="96" t="s">
        <v>536</v>
      </c>
    </row>
    <row r="56" spans="1:29" x14ac:dyDescent="0.25">
      <c r="A56" s="41" t="s">
        <v>129</v>
      </c>
      <c r="B56" s="168" t="s">
        <v>123</v>
      </c>
      <c r="C56" s="96">
        <v>0</v>
      </c>
      <c r="D56" s="98" t="s">
        <v>536</v>
      </c>
      <c r="E56" s="96">
        <f t="shared" si="2"/>
        <v>0</v>
      </c>
      <c r="F56" s="287">
        <v>0</v>
      </c>
      <c r="G56" s="98">
        <f t="shared" si="3"/>
        <v>0</v>
      </c>
      <c r="H56" s="98">
        <f>'6.2. Паспорт фин осв ввод факт'!T56</f>
        <v>0</v>
      </c>
      <c r="I56" s="98">
        <v>0</v>
      </c>
      <c r="J56" s="98" t="s">
        <v>536</v>
      </c>
      <c r="K56" s="98" t="s">
        <v>536</v>
      </c>
      <c r="L56" s="98">
        <f t="shared" si="8"/>
        <v>0</v>
      </c>
      <c r="M56" s="98">
        <v>0</v>
      </c>
      <c r="N56" s="98" t="s">
        <v>536</v>
      </c>
      <c r="O56" s="98" t="s">
        <v>536</v>
      </c>
      <c r="P56" s="98">
        <v>0</v>
      </c>
      <c r="Q56" s="98">
        <v>0</v>
      </c>
      <c r="R56" s="98" t="s">
        <v>536</v>
      </c>
      <c r="S56" s="98" t="s">
        <v>536</v>
      </c>
      <c r="T56" s="98">
        <v>0</v>
      </c>
      <c r="U56" s="98">
        <v>0</v>
      </c>
      <c r="V56" s="98" t="s">
        <v>536</v>
      </c>
      <c r="W56" s="98" t="s">
        <v>536</v>
      </c>
      <c r="X56" s="96">
        <f t="shared" si="7"/>
        <v>0</v>
      </c>
      <c r="Y56" s="98">
        <v>0</v>
      </c>
      <c r="Z56" s="98" t="s">
        <v>536</v>
      </c>
      <c r="AA56" s="98" t="s">
        <v>536</v>
      </c>
      <c r="AB56" s="96">
        <f t="shared" si="4"/>
        <v>0</v>
      </c>
      <c r="AC56" s="96" t="s">
        <v>536</v>
      </c>
    </row>
    <row r="57" spans="1:29" ht="18.75" x14ac:dyDescent="0.25">
      <c r="A57" s="41" t="s">
        <v>128</v>
      </c>
      <c r="B57" s="168" t="s">
        <v>542</v>
      </c>
      <c r="C57" s="96">
        <f>C50</f>
        <v>7</v>
      </c>
      <c r="D57" s="98" t="s">
        <v>536</v>
      </c>
      <c r="E57" s="96">
        <f t="shared" si="2"/>
        <v>7</v>
      </c>
      <c r="F57" s="287">
        <v>7</v>
      </c>
      <c r="G57" s="98">
        <f t="shared" si="3"/>
        <v>0</v>
      </c>
      <c r="H57" s="98">
        <f>'6.2. Паспорт фин осв ввод факт'!T57</f>
        <v>0</v>
      </c>
      <c r="I57" s="98">
        <v>0</v>
      </c>
      <c r="J57" s="98" t="s">
        <v>536</v>
      </c>
      <c r="K57" s="98" t="s">
        <v>536</v>
      </c>
      <c r="L57" s="98">
        <f>C57</f>
        <v>7</v>
      </c>
      <c r="M57" s="98">
        <v>0</v>
      </c>
      <c r="N57" s="98" t="s">
        <v>536</v>
      </c>
      <c r="O57" s="98" t="s">
        <v>536</v>
      </c>
      <c r="P57" s="98">
        <v>0</v>
      </c>
      <c r="Q57" s="98">
        <v>0</v>
      </c>
      <c r="R57" s="98" t="s">
        <v>536</v>
      </c>
      <c r="S57" s="98" t="s">
        <v>536</v>
      </c>
      <c r="T57" s="98">
        <v>0</v>
      </c>
      <c r="U57" s="98">
        <v>0</v>
      </c>
      <c r="V57" s="98" t="s">
        <v>536</v>
      </c>
      <c r="W57" s="98" t="s">
        <v>536</v>
      </c>
      <c r="X57" s="96">
        <v>0</v>
      </c>
      <c r="Y57" s="98">
        <v>0</v>
      </c>
      <c r="Z57" s="98" t="s">
        <v>536</v>
      </c>
      <c r="AA57" s="98" t="s">
        <v>536</v>
      </c>
      <c r="AB57" s="96">
        <f t="shared" si="4"/>
        <v>7</v>
      </c>
      <c r="AC57" s="96" t="s">
        <v>536</v>
      </c>
    </row>
    <row r="58" spans="1:29" s="282" customFormat="1" ht="36.75" customHeight="1" x14ac:dyDescent="0.25">
      <c r="A58" s="44" t="s">
        <v>56</v>
      </c>
      <c r="B58" s="169" t="s">
        <v>207</v>
      </c>
      <c r="C58" s="96">
        <v>0</v>
      </c>
      <c r="D58" s="98" t="s">
        <v>536</v>
      </c>
      <c r="E58" s="96">
        <f t="shared" si="2"/>
        <v>0</v>
      </c>
      <c r="F58" s="287">
        <v>0</v>
      </c>
      <c r="G58" s="98">
        <f t="shared" si="3"/>
        <v>0</v>
      </c>
      <c r="H58" s="96">
        <f>'6.2. Паспорт фин осв ввод факт'!T58</f>
        <v>0</v>
      </c>
      <c r="I58" s="96">
        <v>0</v>
      </c>
      <c r="J58" s="98" t="s">
        <v>536</v>
      </c>
      <c r="K58" s="98" t="s">
        <v>536</v>
      </c>
      <c r="L58" s="98">
        <v>0</v>
      </c>
      <c r="M58" s="96">
        <v>0</v>
      </c>
      <c r="N58" s="98" t="s">
        <v>536</v>
      </c>
      <c r="O58" s="98" t="s">
        <v>536</v>
      </c>
      <c r="P58" s="96">
        <v>0</v>
      </c>
      <c r="Q58" s="96">
        <v>0</v>
      </c>
      <c r="R58" s="98" t="s">
        <v>536</v>
      </c>
      <c r="S58" s="98" t="s">
        <v>536</v>
      </c>
      <c r="T58" s="96">
        <v>0</v>
      </c>
      <c r="U58" s="96">
        <v>0</v>
      </c>
      <c r="V58" s="98" t="s">
        <v>536</v>
      </c>
      <c r="W58" s="98" t="s">
        <v>536</v>
      </c>
      <c r="X58" s="96">
        <v>0</v>
      </c>
      <c r="Y58" s="96">
        <v>0</v>
      </c>
      <c r="Z58" s="98" t="s">
        <v>536</v>
      </c>
      <c r="AA58" s="98" t="s">
        <v>536</v>
      </c>
      <c r="AB58" s="96">
        <f t="shared" si="4"/>
        <v>0</v>
      </c>
      <c r="AC58" s="96" t="s">
        <v>536</v>
      </c>
    </row>
    <row r="59" spans="1:29" s="282" customFormat="1" x14ac:dyDescent="0.25">
      <c r="A59" s="44" t="s">
        <v>54</v>
      </c>
      <c r="B59" s="43" t="s">
        <v>127</v>
      </c>
      <c r="C59" s="96">
        <v>0</v>
      </c>
      <c r="D59" s="98" t="s">
        <v>536</v>
      </c>
      <c r="E59" s="96">
        <f t="shared" si="2"/>
        <v>0</v>
      </c>
      <c r="F59" s="287">
        <v>0</v>
      </c>
      <c r="G59" s="98">
        <f t="shared" si="3"/>
        <v>0</v>
      </c>
      <c r="H59" s="96">
        <f>'6.2. Паспорт фин осв ввод факт'!T59</f>
        <v>0</v>
      </c>
      <c r="I59" s="96">
        <v>0</v>
      </c>
      <c r="J59" s="98" t="s">
        <v>536</v>
      </c>
      <c r="K59" s="98" t="s">
        <v>536</v>
      </c>
      <c r="L59" s="98">
        <v>0</v>
      </c>
      <c r="M59" s="96">
        <v>0</v>
      </c>
      <c r="N59" s="98" t="s">
        <v>536</v>
      </c>
      <c r="O59" s="98" t="s">
        <v>536</v>
      </c>
      <c r="P59" s="96">
        <v>0</v>
      </c>
      <c r="Q59" s="96">
        <v>0</v>
      </c>
      <c r="R59" s="98" t="s">
        <v>536</v>
      </c>
      <c r="S59" s="98" t="s">
        <v>536</v>
      </c>
      <c r="T59" s="96">
        <v>0</v>
      </c>
      <c r="U59" s="96">
        <v>0</v>
      </c>
      <c r="V59" s="98" t="s">
        <v>536</v>
      </c>
      <c r="W59" s="98" t="s">
        <v>536</v>
      </c>
      <c r="X59" s="96">
        <f t="shared" si="7"/>
        <v>0</v>
      </c>
      <c r="Y59" s="96">
        <v>0</v>
      </c>
      <c r="Z59" s="98" t="s">
        <v>536</v>
      </c>
      <c r="AA59" s="98" t="s">
        <v>536</v>
      </c>
      <c r="AB59" s="96">
        <f t="shared" si="4"/>
        <v>0</v>
      </c>
      <c r="AC59" s="96" t="s">
        <v>536</v>
      </c>
    </row>
    <row r="60" spans="1:29" x14ac:dyDescent="0.25">
      <c r="A60" s="41" t="s">
        <v>201</v>
      </c>
      <c r="B60" s="170" t="s">
        <v>147</v>
      </c>
      <c r="C60" s="96">
        <v>0</v>
      </c>
      <c r="D60" s="98" t="s">
        <v>536</v>
      </c>
      <c r="E60" s="96">
        <f t="shared" si="2"/>
        <v>0</v>
      </c>
      <c r="F60" s="287">
        <v>0</v>
      </c>
      <c r="G60" s="98">
        <f t="shared" si="3"/>
        <v>0</v>
      </c>
      <c r="H60" s="98">
        <f>'6.2. Паспорт фин осв ввод факт'!T60</f>
        <v>0</v>
      </c>
      <c r="I60" s="98">
        <v>0</v>
      </c>
      <c r="J60" s="98" t="s">
        <v>536</v>
      </c>
      <c r="K60" s="98" t="s">
        <v>536</v>
      </c>
      <c r="L60" s="98">
        <v>0</v>
      </c>
      <c r="M60" s="98">
        <v>0</v>
      </c>
      <c r="N60" s="98" t="s">
        <v>536</v>
      </c>
      <c r="O60" s="98" t="s">
        <v>536</v>
      </c>
      <c r="P60" s="98">
        <v>0</v>
      </c>
      <c r="Q60" s="98">
        <v>0</v>
      </c>
      <c r="R60" s="98" t="s">
        <v>536</v>
      </c>
      <c r="S60" s="98" t="s">
        <v>536</v>
      </c>
      <c r="T60" s="98">
        <v>0</v>
      </c>
      <c r="U60" s="98">
        <v>0</v>
      </c>
      <c r="V60" s="98" t="s">
        <v>536</v>
      </c>
      <c r="W60" s="98" t="s">
        <v>536</v>
      </c>
      <c r="X60" s="96">
        <f t="shared" si="7"/>
        <v>0</v>
      </c>
      <c r="Y60" s="98">
        <v>0</v>
      </c>
      <c r="Z60" s="98" t="s">
        <v>536</v>
      </c>
      <c r="AA60" s="98" t="s">
        <v>536</v>
      </c>
      <c r="AB60" s="96">
        <f t="shared" si="4"/>
        <v>0</v>
      </c>
      <c r="AC60" s="96" t="s">
        <v>536</v>
      </c>
    </row>
    <row r="61" spans="1:29" x14ac:dyDescent="0.25">
      <c r="A61" s="41" t="s">
        <v>202</v>
      </c>
      <c r="B61" s="170" t="s">
        <v>145</v>
      </c>
      <c r="C61" s="96">
        <v>0</v>
      </c>
      <c r="D61" s="98" t="s">
        <v>536</v>
      </c>
      <c r="E61" s="96">
        <f t="shared" si="2"/>
        <v>0</v>
      </c>
      <c r="F61" s="287">
        <v>0</v>
      </c>
      <c r="G61" s="98">
        <f t="shared" si="3"/>
        <v>0</v>
      </c>
      <c r="H61" s="98">
        <f>'6.2. Паспорт фин осв ввод факт'!T61</f>
        <v>0</v>
      </c>
      <c r="I61" s="98">
        <v>0</v>
      </c>
      <c r="J61" s="98" t="s">
        <v>536</v>
      </c>
      <c r="K61" s="98" t="s">
        <v>536</v>
      </c>
      <c r="L61" s="98">
        <v>0</v>
      </c>
      <c r="M61" s="98">
        <v>0</v>
      </c>
      <c r="N61" s="98" t="s">
        <v>536</v>
      </c>
      <c r="O61" s="98" t="s">
        <v>536</v>
      </c>
      <c r="P61" s="98">
        <v>0</v>
      </c>
      <c r="Q61" s="98">
        <v>0</v>
      </c>
      <c r="R61" s="98" t="s">
        <v>536</v>
      </c>
      <c r="S61" s="98" t="s">
        <v>536</v>
      </c>
      <c r="T61" s="98">
        <v>0</v>
      </c>
      <c r="U61" s="98">
        <v>0</v>
      </c>
      <c r="V61" s="98" t="s">
        <v>536</v>
      </c>
      <c r="W61" s="98" t="s">
        <v>536</v>
      </c>
      <c r="X61" s="96">
        <v>0</v>
      </c>
      <c r="Y61" s="98">
        <v>0</v>
      </c>
      <c r="Z61" s="98" t="s">
        <v>536</v>
      </c>
      <c r="AA61" s="98" t="s">
        <v>536</v>
      </c>
      <c r="AB61" s="96">
        <f t="shared" si="4"/>
        <v>0</v>
      </c>
      <c r="AC61" s="96" t="s">
        <v>536</v>
      </c>
    </row>
    <row r="62" spans="1:29" x14ac:dyDescent="0.25">
      <c r="A62" s="41" t="s">
        <v>203</v>
      </c>
      <c r="B62" s="170" t="s">
        <v>143</v>
      </c>
      <c r="C62" s="96">
        <v>0</v>
      </c>
      <c r="D62" s="98" t="s">
        <v>536</v>
      </c>
      <c r="E62" s="96">
        <f t="shared" si="2"/>
        <v>0</v>
      </c>
      <c r="F62" s="287">
        <v>0</v>
      </c>
      <c r="G62" s="98">
        <f t="shared" si="3"/>
        <v>0</v>
      </c>
      <c r="H62" s="98">
        <f>'6.2. Паспорт фин осв ввод факт'!T62</f>
        <v>0</v>
      </c>
      <c r="I62" s="98">
        <v>0</v>
      </c>
      <c r="J62" s="98" t="s">
        <v>536</v>
      </c>
      <c r="K62" s="98" t="s">
        <v>536</v>
      </c>
      <c r="L62" s="98">
        <v>0</v>
      </c>
      <c r="M62" s="98">
        <v>0</v>
      </c>
      <c r="N62" s="98" t="s">
        <v>536</v>
      </c>
      <c r="O62" s="98" t="s">
        <v>536</v>
      </c>
      <c r="P62" s="98">
        <v>0</v>
      </c>
      <c r="Q62" s="98">
        <v>0</v>
      </c>
      <c r="R62" s="98" t="s">
        <v>536</v>
      </c>
      <c r="S62" s="98" t="s">
        <v>536</v>
      </c>
      <c r="T62" s="98">
        <v>0</v>
      </c>
      <c r="U62" s="98">
        <v>0</v>
      </c>
      <c r="V62" s="98" t="s">
        <v>536</v>
      </c>
      <c r="W62" s="98" t="s">
        <v>536</v>
      </c>
      <c r="X62" s="96">
        <f t="shared" si="7"/>
        <v>0</v>
      </c>
      <c r="Y62" s="98">
        <v>0</v>
      </c>
      <c r="Z62" s="98" t="s">
        <v>536</v>
      </c>
      <c r="AA62" s="98" t="s">
        <v>536</v>
      </c>
      <c r="AB62" s="96">
        <f t="shared" si="4"/>
        <v>0</v>
      </c>
      <c r="AC62" s="96" t="s">
        <v>536</v>
      </c>
    </row>
    <row r="63" spans="1:29" x14ac:dyDescent="0.25">
      <c r="A63" s="41" t="s">
        <v>204</v>
      </c>
      <c r="B63" s="170" t="s">
        <v>206</v>
      </c>
      <c r="C63" s="96">
        <v>0</v>
      </c>
      <c r="D63" s="98" t="s">
        <v>536</v>
      </c>
      <c r="E63" s="96">
        <f t="shared" si="2"/>
        <v>0</v>
      </c>
      <c r="F63" s="287">
        <v>0</v>
      </c>
      <c r="G63" s="98">
        <f t="shared" si="3"/>
        <v>0</v>
      </c>
      <c r="H63" s="98">
        <f>'6.2. Паспорт фин осв ввод факт'!T63</f>
        <v>0</v>
      </c>
      <c r="I63" s="98">
        <v>0</v>
      </c>
      <c r="J63" s="98" t="s">
        <v>536</v>
      </c>
      <c r="K63" s="98" t="s">
        <v>536</v>
      </c>
      <c r="L63" s="98">
        <v>0</v>
      </c>
      <c r="M63" s="98">
        <v>0</v>
      </c>
      <c r="N63" s="98" t="s">
        <v>536</v>
      </c>
      <c r="O63" s="98" t="s">
        <v>536</v>
      </c>
      <c r="P63" s="98">
        <v>0</v>
      </c>
      <c r="Q63" s="98">
        <v>0</v>
      </c>
      <c r="R63" s="98" t="s">
        <v>536</v>
      </c>
      <c r="S63" s="98" t="s">
        <v>536</v>
      </c>
      <c r="T63" s="98">
        <v>0</v>
      </c>
      <c r="U63" s="98">
        <v>0</v>
      </c>
      <c r="V63" s="98" t="s">
        <v>536</v>
      </c>
      <c r="W63" s="98" t="s">
        <v>536</v>
      </c>
      <c r="X63" s="96">
        <f t="shared" si="7"/>
        <v>0</v>
      </c>
      <c r="Y63" s="98">
        <v>0</v>
      </c>
      <c r="Z63" s="98" t="s">
        <v>536</v>
      </c>
      <c r="AA63" s="98" t="s">
        <v>536</v>
      </c>
      <c r="AB63" s="96">
        <f t="shared" si="4"/>
        <v>0</v>
      </c>
      <c r="AC63" s="96" t="s">
        <v>536</v>
      </c>
    </row>
    <row r="64" spans="1:29" ht="18.75" x14ac:dyDescent="0.25">
      <c r="A64" s="41" t="s">
        <v>205</v>
      </c>
      <c r="B64" s="168" t="s">
        <v>542</v>
      </c>
      <c r="C64" s="96">
        <v>0</v>
      </c>
      <c r="D64" s="98" t="s">
        <v>536</v>
      </c>
      <c r="E64" s="96">
        <f t="shared" si="2"/>
        <v>0</v>
      </c>
      <c r="F64" s="287">
        <v>0</v>
      </c>
      <c r="G64" s="98">
        <f t="shared" si="3"/>
        <v>0</v>
      </c>
      <c r="H64" s="98">
        <f>'6.2. Паспорт фин осв ввод факт'!T64</f>
        <v>0</v>
      </c>
      <c r="I64" s="98">
        <v>0</v>
      </c>
      <c r="J64" s="98" t="s">
        <v>536</v>
      </c>
      <c r="K64" s="98" t="s">
        <v>536</v>
      </c>
      <c r="L64" s="98">
        <v>0</v>
      </c>
      <c r="M64" s="98">
        <v>0</v>
      </c>
      <c r="N64" s="98" t="s">
        <v>536</v>
      </c>
      <c r="O64" s="98" t="s">
        <v>536</v>
      </c>
      <c r="P64" s="98">
        <v>0</v>
      </c>
      <c r="Q64" s="98">
        <v>0</v>
      </c>
      <c r="R64" s="98" t="s">
        <v>536</v>
      </c>
      <c r="S64" s="98" t="s">
        <v>536</v>
      </c>
      <c r="T64" s="98">
        <v>0</v>
      </c>
      <c r="U64" s="98">
        <v>0</v>
      </c>
      <c r="V64" s="98" t="s">
        <v>536</v>
      </c>
      <c r="W64" s="98" t="s">
        <v>536</v>
      </c>
      <c r="X64" s="96">
        <v>0</v>
      </c>
      <c r="Y64" s="98">
        <v>0</v>
      </c>
      <c r="Z64" s="98" t="s">
        <v>536</v>
      </c>
      <c r="AA64" s="98" t="s">
        <v>536</v>
      </c>
      <c r="AB64" s="96">
        <f t="shared" si="4"/>
        <v>0</v>
      </c>
      <c r="AC64" s="96" t="s">
        <v>536</v>
      </c>
    </row>
    <row r="65" spans="1:28" x14ac:dyDescent="0.25">
      <c r="A65" s="38"/>
      <c r="B65" s="33"/>
      <c r="C65" s="33"/>
      <c r="D65" s="33"/>
      <c r="E65" s="33"/>
      <c r="F65" s="33"/>
      <c r="G65" s="33"/>
    </row>
    <row r="66" spans="1:28" ht="54" customHeight="1" x14ac:dyDescent="0.25">
      <c r="B66" s="359"/>
      <c r="C66" s="359"/>
      <c r="D66" s="359"/>
      <c r="E66" s="359"/>
      <c r="F66" s="35"/>
      <c r="G66" s="35"/>
      <c r="H66" s="37"/>
      <c r="I66" s="37"/>
      <c r="J66" s="37"/>
      <c r="K66" s="37"/>
      <c r="L66" s="37"/>
      <c r="M66" s="37"/>
      <c r="N66" s="37"/>
      <c r="O66" s="37"/>
      <c r="P66" s="37"/>
      <c r="Q66" s="37"/>
      <c r="R66" s="37"/>
      <c r="S66" s="37"/>
      <c r="T66" s="37"/>
      <c r="U66" s="37"/>
      <c r="V66" s="37"/>
      <c r="W66" s="37"/>
      <c r="X66" s="37"/>
      <c r="Y66" s="37"/>
      <c r="Z66" s="37"/>
      <c r="AA66" s="37"/>
      <c r="AB66" s="37"/>
    </row>
    <row r="68" spans="1:28" ht="50.25" customHeight="1" x14ac:dyDescent="0.25">
      <c r="B68" s="359"/>
      <c r="C68" s="359"/>
      <c r="D68" s="359"/>
      <c r="E68" s="359"/>
      <c r="F68" s="35"/>
      <c r="G68" s="35"/>
    </row>
    <row r="70" spans="1:28" ht="36.75" customHeight="1" x14ac:dyDescent="0.25">
      <c r="B70" s="359"/>
      <c r="C70" s="359"/>
      <c r="D70" s="359"/>
      <c r="E70" s="359"/>
      <c r="F70" s="35"/>
      <c r="G70" s="35"/>
    </row>
    <row r="72" spans="1:28" ht="51" customHeight="1" x14ac:dyDescent="0.25">
      <c r="B72" s="359"/>
      <c r="C72" s="359"/>
      <c r="D72" s="359"/>
      <c r="E72" s="359"/>
      <c r="F72" s="35"/>
      <c r="G72" s="35"/>
    </row>
    <row r="73" spans="1:28" ht="32.25" customHeight="1" x14ac:dyDescent="0.25">
      <c r="B73" s="359"/>
      <c r="C73" s="359"/>
      <c r="D73" s="359"/>
      <c r="E73" s="359"/>
      <c r="F73" s="35"/>
      <c r="G73" s="35"/>
    </row>
    <row r="74" spans="1:28" ht="51.75" customHeight="1" x14ac:dyDescent="0.25">
      <c r="B74" s="359"/>
      <c r="C74" s="359"/>
      <c r="D74" s="359"/>
      <c r="E74" s="359"/>
      <c r="F74" s="35"/>
      <c r="G74" s="35"/>
    </row>
    <row r="75" spans="1:28" ht="21.75" customHeight="1" x14ac:dyDescent="0.25">
      <c r="B75" s="365"/>
      <c r="C75" s="365"/>
      <c r="D75" s="365"/>
      <c r="E75" s="365"/>
      <c r="F75" s="34"/>
      <c r="G75" s="34"/>
    </row>
    <row r="76" spans="1:28" ht="23.25" customHeight="1" x14ac:dyDescent="0.25"/>
    <row r="77" spans="1:28" ht="18.75" customHeight="1" x14ac:dyDescent="0.25">
      <c r="B77" s="358"/>
      <c r="C77" s="358"/>
      <c r="D77" s="358"/>
      <c r="E77" s="358"/>
      <c r="F77" s="33"/>
      <c r="G77" s="33"/>
    </row>
  </sheetData>
  <mergeCells count="39">
    <mergeCell ref="A14:AC14"/>
    <mergeCell ref="A15:AC15"/>
    <mergeCell ref="A16:AC16"/>
    <mergeCell ref="A18:AC18"/>
    <mergeCell ref="A20:A22"/>
    <mergeCell ref="B20:B22"/>
    <mergeCell ref="C20:D21"/>
    <mergeCell ref="V21:W21"/>
    <mergeCell ref="X21:Y21"/>
    <mergeCell ref="A12:AC12"/>
    <mergeCell ref="A4:AC4"/>
    <mergeCell ref="A6:AC6"/>
    <mergeCell ref="A8:AC8"/>
    <mergeCell ref="A9:AC9"/>
    <mergeCell ref="A11:AC1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Z21:AA21"/>
    <mergeCell ref="E20:F21"/>
    <mergeCell ref="B75:E75"/>
    <mergeCell ref="B77:E77"/>
    <mergeCell ref="B66:E66"/>
    <mergeCell ref="B68:E68"/>
    <mergeCell ref="B72:E72"/>
    <mergeCell ref="B73:E73"/>
    <mergeCell ref="B74:E74"/>
    <mergeCell ref="B70:E70"/>
  </mergeCells>
  <conditionalFormatting sqref="C24:D64">
    <cfRule type="cellIs" dxfId="7" priority="5" operator="greaterThan">
      <formula>0</formula>
    </cfRule>
  </conditionalFormatting>
  <conditionalFormatting sqref="C24:AC64">
    <cfRule type="cellIs" dxfId="6" priority="4" operator="notEqual">
      <formula>0</formula>
    </cfRule>
  </conditionalFormatting>
  <conditionalFormatting sqref="G24:M24 N24:O64 L25:L34 G25:G64 J25:K64">
    <cfRule type="cellIs" dxfId="5" priority="7" operator="greaterThan">
      <formula>0</formula>
    </cfRule>
  </conditionalFormatting>
  <conditionalFormatting sqref="N24:N29">
    <cfRule type="cellIs" dxfId="4" priority="18" operator="greaterThan">
      <formula>0</formula>
    </cfRule>
  </conditionalFormatting>
  <conditionalFormatting sqref="O24:AA24">
    <cfRule type="cellIs" dxfId="3" priority="10" operator="greaterThan">
      <formula>0</formula>
    </cfRule>
  </conditionalFormatting>
  <conditionalFormatting sqref="R24:S64">
    <cfRule type="cellIs" dxfId="2" priority="3" operator="greaterThan">
      <formula>0</formula>
    </cfRule>
  </conditionalFormatting>
  <conditionalFormatting sqref="V24:W64">
    <cfRule type="cellIs" dxfId="1" priority="2" operator="greaterThan">
      <formula>0</formula>
    </cfRule>
  </conditionalFormatting>
  <conditionalFormatting sqref="Z24:AA64">
    <cfRule type="cellIs" dxfId="0" priority="1" operator="greaterThan">
      <formula>0</formula>
    </cfRule>
  </conditionalFormatting>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R1" zoomScale="70" zoomScaleSheetLayoutView="70" workbookViewId="0">
      <selection activeCell="N26" sqref="N26"/>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c r="AB5" s="297"/>
      <c r="AC5" s="297"/>
      <c r="AD5" s="297"/>
      <c r="AE5" s="297"/>
      <c r="AF5" s="297"/>
      <c r="AG5" s="297"/>
      <c r="AH5" s="297"/>
      <c r="AI5" s="297"/>
      <c r="AJ5" s="297"/>
      <c r="AK5" s="297"/>
      <c r="AL5" s="297"/>
      <c r="AM5" s="297"/>
      <c r="AN5" s="297"/>
      <c r="AO5" s="297"/>
      <c r="AP5" s="297"/>
      <c r="AQ5" s="297"/>
      <c r="AR5" s="297"/>
      <c r="AS5" s="297"/>
      <c r="AT5" s="297"/>
      <c r="AU5" s="297"/>
      <c r="AV5" s="297"/>
    </row>
    <row r="6" spans="1:48" ht="18.75" x14ac:dyDescent="0.3">
      <c r="AV6" s="12"/>
    </row>
    <row r="7" spans="1:48" ht="18.75" x14ac:dyDescent="0.25">
      <c r="A7" s="306" t="s">
        <v>7</v>
      </c>
      <c r="B7" s="306"/>
      <c r="C7" s="306"/>
      <c r="D7" s="306"/>
      <c r="E7" s="306"/>
      <c r="F7" s="306"/>
      <c r="G7" s="306"/>
      <c r="H7" s="306"/>
      <c r="I7" s="306"/>
      <c r="J7" s="306"/>
      <c r="K7" s="306"/>
      <c r="L7" s="306"/>
      <c r="M7" s="306"/>
      <c r="N7" s="306"/>
      <c r="O7" s="306"/>
      <c r="P7" s="306"/>
      <c r="Q7" s="306"/>
      <c r="R7" s="306"/>
      <c r="S7" s="306"/>
      <c r="T7" s="306"/>
      <c r="U7" s="306"/>
      <c r="V7" s="306"/>
      <c r="W7" s="306"/>
      <c r="X7" s="306"/>
      <c r="Y7" s="306"/>
      <c r="Z7" s="306"/>
      <c r="AA7" s="306"/>
      <c r="AB7" s="306"/>
      <c r="AC7" s="306"/>
      <c r="AD7" s="306"/>
      <c r="AE7" s="306"/>
      <c r="AF7" s="306"/>
      <c r="AG7" s="306"/>
      <c r="AH7" s="306"/>
      <c r="AI7" s="306"/>
      <c r="AJ7" s="306"/>
      <c r="AK7" s="306"/>
      <c r="AL7" s="306"/>
      <c r="AM7" s="306"/>
      <c r="AN7" s="306"/>
      <c r="AO7" s="306"/>
      <c r="AP7" s="306"/>
      <c r="AQ7" s="306"/>
      <c r="AR7" s="306"/>
      <c r="AS7" s="306"/>
      <c r="AT7" s="306"/>
      <c r="AU7" s="306"/>
      <c r="AV7" s="306"/>
    </row>
    <row r="8" spans="1:48" ht="18.75" x14ac:dyDescent="0.25">
      <c r="A8" s="306"/>
      <c r="B8" s="306"/>
      <c r="C8" s="306"/>
      <c r="D8" s="306"/>
      <c r="E8" s="306"/>
      <c r="F8" s="306"/>
      <c r="G8" s="306"/>
      <c r="H8" s="306"/>
      <c r="I8" s="306"/>
      <c r="J8" s="306"/>
      <c r="K8" s="306"/>
      <c r="L8" s="306"/>
      <c r="M8" s="306"/>
      <c r="N8" s="306"/>
      <c r="O8" s="306"/>
      <c r="P8" s="306"/>
      <c r="Q8" s="306"/>
      <c r="R8" s="306"/>
      <c r="S8" s="306"/>
      <c r="T8" s="306"/>
      <c r="U8" s="306"/>
      <c r="V8" s="306"/>
      <c r="W8" s="306"/>
      <c r="X8" s="306"/>
      <c r="Y8" s="306"/>
      <c r="Z8" s="306"/>
      <c r="AA8" s="306"/>
      <c r="AB8" s="306"/>
      <c r="AC8" s="306"/>
      <c r="AD8" s="306"/>
      <c r="AE8" s="306"/>
      <c r="AF8" s="306"/>
      <c r="AG8" s="306"/>
      <c r="AH8" s="306"/>
      <c r="AI8" s="306"/>
      <c r="AJ8" s="306"/>
      <c r="AK8" s="306"/>
      <c r="AL8" s="306"/>
      <c r="AM8" s="306"/>
      <c r="AN8" s="306"/>
      <c r="AO8" s="306"/>
      <c r="AP8" s="306"/>
      <c r="AQ8" s="306"/>
      <c r="AR8" s="306"/>
      <c r="AS8" s="306"/>
      <c r="AT8" s="306"/>
      <c r="AU8" s="306"/>
      <c r="AV8" s="306"/>
    </row>
    <row r="9" spans="1:48" ht="15.75" x14ac:dyDescent="0.25">
      <c r="A9" s="304" t="str">
        <f>'1. паспорт местоположение'!A9:C9</f>
        <v xml:space="preserve">Акционерное общество "Западная энергетическая компания" </v>
      </c>
      <c r="B9" s="304"/>
      <c r="C9" s="304"/>
      <c r="D9" s="304"/>
      <c r="E9" s="304"/>
      <c r="F9" s="304"/>
      <c r="G9" s="304"/>
      <c r="H9" s="304"/>
      <c r="I9" s="304"/>
      <c r="J9" s="304"/>
      <c r="K9" s="304"/>
      <c r="L9" s="304"/>
      <c r="M9" s="304"/>
      <c r="N9" s="304"/>
      <c r="O9" s="304"/>
      <c r="P9" s="304"/>
      <c r="Q9" s="304"/>
      <c r="R9" s="304"/>
      <c r="S9" s="304"/>
      <c r="T9" s="304"/>
      <c r="U9" s="304"/>
      <c r="V9" s="304"/>
      <c r="W9" s="304"/>
      <c r="X9" s="304"/>
      <c r="Y9" s="304"/>
      <c r="Z9" s="304"/>
      <c r="AA9" s="304"/>
      <c r="AB9" s="304"/>
      <c r="AC9" s="304"/>
      <c r="AD9" s="304"/>
      <c r="AE9" s="304"/>
      <c r="AF9" s="304"/>
      <c r="AG9" s="304"/>
      <c r="AH9" s="304"/>
      <c r="AI9" s="304"/>
      <c r="AJ9" s="304"/>
      <c r="AK9" s="304"/>
      <c r="AL9" s="304"/>
      <c r="AM9" s="304"/>
      <c r="AN9" s="304"/>
      <c r="AO9" s="304"/>
      <c r="AP9" s="304"/>
      <c r="AQ9" s="304"/>
      <c r="AR9" s="304"/>
      <c r="AS9" s="304"/>
      <c r="AT9" s="304"/>
      <c r="AU9" s="304"/>
      <c r="AV9" s="304"/>
    </row>
    <row r="10" spans="1:48" ht="15.75" x14ac:dyDescent="0.25">
      <c r="A10" s="310" t="s">
        <v>6</v>
      </c>
      <c r="B10" s="310"/>
      <c r="C10" s="310"/>
      <c r="D10" s="310"/>
      <c r="E10" s="310"/>
      <c r="F10" s="310"/>
      <c r="G10" s="310"/>
      <c r="H10" s="310"/>
      <c r="I10" s="310"/>
      <c r="J10" s="310"/>
      <c r="K10" s="310"/>
      <c r="L10" s="310"/>
      <c r="M10" s="310"/>
      <c r="N10" s="310"/>
      <c r="O10" s="310"/>
      <c r="P10" s="310"/>
      <c r="Q10" s="310"/>
      <c r="R10" s="310"/>
      <c r="S10" s="310"/>
      <c r="T10" s="310"/>
      <c r="U10" s="310"/>
      <c r="V10" s="310"/>
      <c r="W10" s="310"/>
      <c r="X10" s="310"/>
      <c r="Y10" s="310"/>
      <c r="Z10" s="310"/>
      <c r="AA10" s="310"/>
      <c r="AB10" s="310"/>
      <c r="AC10" s="310"/>
      <c r="AD10" s="310"/>
      <c r="AE10" s="310"/>
      <c r="AF10" s="310"/>
      <c r="AG10" s="310"/>
      <c r="AH10" s="310"/>
      <c r="AI10" s="310"/>
      <c r="AJ10" s="310"/>
      <c r="AK10" s="310"/>
      <c r="AL10" s="310"/>
      <c r="AM10" s="310"/>
      <c r="AN10" s="310"/>
      <c r="AO10" s="310"/>
      <c r="AP10" s="310"/>
      <c r="AQ10" s="310"/>
      <c r="AR10" s="310"/>
      <c r="AS10" s="310"/>
      <c r="AT10" s="310"/>
      <c r="AU10" s="310"/>
      <c r="AV10" s="310"/>
    </row>
    <row r="11" spans="1:48" ht="18.75" x14ac:dyDescent="0.25">
      <c r="A11" s="306"/>
      <c r="B11" s="306"/>
      <c r="C11" s="306"/>
      <c r="D11" s="306"/>
      <c r="E11" s="306"/>
      <c r="F11" s="306"/>
      <c r="G11" s="306"/>
      <c r="H11" s="306"/>
      <c r="I11" s="306"/>
      <c r="J11" s="306"/>
      <c r="K11" s="306"/>
      <c r="L11" s="306"/>
      <c r="M11" s="306"/>
      <c r="N11" s="306"/>
      <c r="O11" s="306"/>
      <c r="P11" s="306"/>
      <c r="Q11" s="306"/>
      <c r="R11" s="306"/>
      <c r="S11" s="306"/>
      <c r="T11" s="306"/>
      <c r="U11" s="306"/>
      <c r="V11" s="306"/>
      <c r="W11" s="306"/>
      <c r="X11" s="306"/>
      <c r="Y11" s="306"/>
      <c r="Z11" s="306"/>
      <c r="AA11" s="306"/>
      <c r="AB11" s="306"/>
      <c r="AC11" s="306"/>
      <c r="AD11" s="306"/>
      <c r="AE11" s="306"/>
      <c r="AF11" s="306"/>
      <c r="AG11" s="306"/>
      <c r="AH11" s="306"/>
      <c r="AI11" s="306"/>
      <c r="AJ11" s="306"/>
      <c r="AK11" s="306"/>
      <c r="AL11" s="306"/>
      <c r="AM11" s="306"/>
      <c r="AN11" s="306"/>
      <c r="AO11" s="306"/>
      <c r="AP11" s="306"/>
      <c r="AQ11" s="306"/>
      <c r="AR11" s="306"/>
      <c r="AS11" s="306"/>
      <c r="AT11" s="306"/>
      <c r="AU11" s="306"/>
      <c r="AV11" s="306"/>
    </row>
    <row r="12" spans="1:48" ht="15.75" x14ac:dyDescent="0.25">
      <c r="A12" s="304" t="str">
        <f>'1. паспорт местоположение'!A12:C12</f>
        <v>O 24-28</v>
      </c>
      <c r="B12" s="304"/>
      <c r="C12" s="304"/>
      <c r="D12" s="304"/>
      <c r="E12" s="304"/>
      <c r="F12" s="304"/>
      <c r="G12" s="304"/>
      <c r="H12" s="304"/>
      <c r="I12" s="304"/>
      <c r="J12" s="304"/>
      <c r="K12" s="304"/>
      <c r="L12" s="304"/>
      <c r="M12" s="304"/>
      <c r="N12" s="304"/>
      <c r="O12" s="304"/>
      <c r="P12" s="304"/>
      <c r="Q12" s="304"/>
      <c r="R12" s="304"/>
      <c r="S12" s="304"/>
      <c r="T12" s="304"/>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row>
    <row r="13" spans="1:48" ht="15.75" x14ac:dyDescent="0.25">
      <c r="A13" s="310" t="s">
        <v>5</v>
      </c>
      <c r="B13" s="310"/>
      <c r="C13" s="310"/>
      <c r="D13" s="310"/>
      <c r="E13" s="310"/>
      <c r="F13" s="310"/>
      <c r="G13" s="310"/>
      <c r="H13" s="310"/>
      <c r="I13" s="310"/>
      <c r="J13" s="310"/>
      <c r="K13" s="310"/>
      <c r="L13" s="310"/>
      <c r="M13" s="310"/>
      <c r="N13" s="310"/>
      <c r="O13" s="310"/>
      <c r="P13" s="310"/>
      <c r="Q13" s="310"/>
      <c r="R13" s="310"/>
      <c r="S13" s="310"/>
      <c r="T13" s="310"/>
      <c r="U13" s="310"/>
      <c r="V13" s="310"/>
      <c r="W13" s="310"/>
      <c r="X13" s="310"/>
      <c r="Y13" s="310"/>
      <c r="Z13" s="310"/>
      <c r="AA13" s="310"/>
      <c r="AB13" s="310"/>
      <c r="AC13" s="310"/>
      <c r="AD13" s="310"/>
      <c r="AE13" s="310"/>
      <c r="AF13" s="310"/>
      <c r="AG13" s="310"/>
      <c r="AH13" s="310"/>
      <c r="AI13" s="310"/>
      <c r="AJ13" s="310"/>
      <c r="AK13" s="310"/>
      <c r="AL13" s="310"/>
      <c r="AM13" s="310"/>
      <c r="AN13" s="310"/>
      <c r="AO13" s="310"/>
      <c r="AP13" s="310"/>
      <c r="AQ13" s="310"/>
      <c r="AR13" s="310"/>
      <c r="AS13" s="310"/>
      <c r="AT13" s="310"/>
      <c r="AU13" s="310"/>
      <c r="AV13" s="310"/>
    </row>
    <row r="14" spans="1:48" ht="18.75" x14ac:dyDescent="0.25">
      <c r="A14" s="311"/>
      <c r="B14" s="311"/>
      <c r="C14" s="311"/>
      <c r="D14" s="311"/>
      <c r="E14" s="311"/>
      <c r="F14" s="311"/>
      <c r="G14" s="311"/>
      <c r="H14" s="311"/>
      <c r="I14" s="311"/>
      <c r="J14" s="311"/>
      <c r="K14" s="311"/>
      <c r="L14" s="311"/>
      <c r="M14" s="311"/>
      <c r="N14" s="311"/>
      <c r="O14" s="311"/>
      <c r="P14" s="311"/>
      <c r="Q14" s="311"/>
      <c r="R14" s="311"/>
      <c r="S14" s="311"/>
      <c r="T14" s="311"/>
      <c r="U14" s="311"/>
      <c r="V14" s="311"/>
      <c r="W14" s="311"/>
      <c r="X14" s="311"/>
      <c r="Y14" s="311"/>
      <c r="Z14" s="311"/>
      <c r="AA14" s="311"/>
      <c r="AB14" s="311"/>
      <c r="AC14" s="311"/>
      <c r="AD14" s="311"/>
      <c r="AE14" s="311"/>
      <c r="AF14" s="311"/>
      <c r="AG14" s="311"/>
      <c r="AH14" s="311"/>
      <c r="AI14" s="311"/>
      <c r="AJ14" s="311"/>
      <c r="AK14" s="311"/>
      <c r="AL14" s="311"/>
      <c r="AM14" s="311"/>
      <c r="AN14" s="311"/>
      <c r="AO14" s="311"/>
      <c r="AP14" s="311"/>
      <c r="AQ14" s="311"/>
      <c r="AR14" s="311"/>
      <c r="AS14" s="311"/>
      <c r="AT14" s="311"/>
      <c r="AU14" s="311"/>
      <c r="AV14" s="311"/>
    </row>
    <row r="15" spans="1:48" ht="15.75" x14ac:dyDescent="0.25">
      <c r="A15" s="304"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5" s="304"/>
      <c r="C15" s="304"/>
      <c r="D15" s="304"/>
      <c r="E15" s="304"/>
      <c r="F15" s="304"/>
      <c r="G15" s="304"/>
      <c r="H15" s="304"/>
      <c r="I15" s="304"/>
      <c r="J15" s="304"/>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row>
    <row r="16" spans="1:48" ht="15.75" x14ac:dyDescent="0.25">
      <c r="A16" s="310" t="s">
        <v>4</v>
      </c>
      <c r="B16" s="310"/>
      <c r="C16" s="310"/>
      <c r="D16" s="310"/>
      <c r="E16" s="310"/>
      <c r="F16" s="310"/>
      <c r="G16" s="310"/>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10"/>
      <c r="AI16" s="310"/>
      <c r="AJ16" s="310"/>
      <c r="AK16" s="310"/>
      <c r="AL16" s="310"/>
      <c r="AM16" s="310"/>
      <c r="AN16" s="310"/>
      <c r="AO16" s="310"/>
      <c r="AP16" s="310"/>
      <c r="AQ16" s="310"/>
      <c r="AR16" s="310"/>
      <c r="AS16" s="310"/>
      <c r="AT16" s="310"/>
      <c r="AU16" s="310"/>
      <c r="AV16" s="310"/>
    </row>
    <row r="17" spans="1:4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row>
    <row r="18" spans="1:48" ht="14.25" customHeight="1"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331"/>
      <c r="AB18" s="331"/>
      <c r="AC18" s="331"/>
      <c r="AD18" s="331"/>
      <c r="AE18" s="331"/>
      <c r="AF18" s="331"/>
      <c r="AG18" s="331"/>
      <c r="AH18" s="331"/>
      <c r="AI18" s="331"/>
      <c r="AJ18" s="331"/>
      <c r="AK18" s="331"/>
      <c r="AL18" s="331"/>
      <c r="AM18" s="331"/>
      <c r="AN18" s="331"/>
      <c r="AO18" s="331"/>
      <c r="AP18" s="331"/>
      <c r="AQ18" s="331"/>
      <c r="AR18" s="331"/>
      <c r="AS18" s="331"/>
      <c r="AT18" s="331"/>
      <c r="AU18" s="331"/>
      <c r="AV18" s="331"/>
    </row>
    <row r="19" spans="1:4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331"/>
      <c r="AB19" s="331"/>
      <c r="AC19" s="331"/>
      <c r="AD19" s="331"/>
      <c r="AE19" s="331"/>
      <c r="AF19" s="331"/>
      <c r="AG19" s="331"/>
      <c r="AH19" s="331"/>
      <c r="AI19" s="331"/>
      <c r="AJ19" s="331"/>
      <c r="AK19" s="331"/>
      <c r="AL19" s="331"/>
      <c r="AM19" s="331"/>
      <c r="AN19" s="331"/>
      <c r="AO19" s="331"/>
      <c r="AP19" s="331"/>
      <c r="AQ19" s="331"/>
      <c r="AR19" s="331"/>
      <c r="AS19" s="331"/>
      <c r="AT19" s="331"/>
      <c r="AU19" s="331"/>
      <c r="AV19" s="331"/>
    </row>
    <row r="20" spans="1:4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331"/>
      <c r="AB20" s="331"/>
      <c r="AC20" s="331"/>
      <c r="AD20" s="331"/>
      <c r="AE20" s="331"/>
      <c r="AF20" s="331"/>
      <c r="AG20" s="331"/>
      <c r="AH20" s="331"/>
      <c r="AI20" s="331"/>
      <c r="AJ20" s="331"/>
      <c r="AK20" s="331"/>
      <c r="AL20" s="331"/>
      <c r="AM20" s="331"/>
      <c r="AN20" s="331"/>
      <c r="AO20" s="331"/>
      <c r="AP20" s="331"/>
      <c r="AQ20" s="331"/>
      <c r="AR20" s="331"/>
      <c r="AS20" s="331"/>
      <c r="AT20" s="331"/>
      <c r="AU20" s="331"/>
      <c r="AV20" s="331"/>
    </row>
    <row r="21" spans="1:48" x14ac:dyDescent="0.25">
      <c r="A21" s="392" t="s">
        <v>406</v>
      </c>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392"/>
      <c r="AB21" s="392"/>
      <c r="AC21" s="392"/>
      <c r="AD21" s="392"/>
      <c r="AE21" s="392"/>
      <c r="AF21" s="392"/>
      <c r="AG21" s="392"/>
      <c r="AH21" s="392"/>
      <c r="AI21" s="392"/>
      <c r="AJ21" s="392"/>
      <c r="AK21" s="392"/>
      <c r="AL21" s="392"/>
      <c r="AM21" s="392"/>
      <c r="AN21" s="392"/>
      <c r="AO21" s="392"/>
      <c r="AP21" s="392"/>
      <c r="AQ21" s="392"/>
      <c r="AR21" s="392"/>
      <c r="AS21" s="392"/>
      <c r="AT21" s="392"/>
      <c r="AU21" s="392"/>
      <c r="AV21" s="392"/>
    </row>
    <row r="22" spans="1:48" ht="58.5" customHeight="1" x14ac:dyDescent="0.25">
      <c r="A22" s="393" t="s">
        <v>50</v>
      </c>
      <c r="B22" s="397" t="s">
        <v>22</v>
      </c>
      <c r="C22" s="383" t="s">
        <v>49</v>
      </c>
      <c r="D22" s="383" t="s">
        <v>48</v>
      </c>
      <c r="E22" s="400" t="s">
        <v>415</v>
      </c>
      <c r="F22" s="401"/>
      <c r="G22" s="401"/>
      <c r="H22" s="401"/>
      <c r="I22" s="401"/>
      <c r="J22" s="401"/>
      <c r="K22" s="401"/>
      <c r="L22" s="402"/>
      <c r="M22" s="383" t="s">
        <v>47</v>
      </c>
      <c r="N22" s="383" t="s">
        <v>46</v>
      </c>
      <c r="O22" s="383" t="s">
        <v>45</v>
      </c>
      <c r="P22" s="378" t="s">
        <v>228</v>
      </c>
      <c r="Q22" s="378" t="s">
        <v>44</v>
      </c>
      <c r="R22" s="378" t="s">
        <v>43</v>
      </c>
      <c r="S22" s="378" t="s">
        <v>42</v>
      </c>
      <c r="T22" s="378"/>
      <c r="U22" s="385" t="s">
        <v>41</v>
      </c>
      <c r="V22" s="385" t="s">
        <v>40</v>
      </c>
      <c r="W22" s="378" t="s">
        <v>39</v>
      </c>
      <c r="X22" s="378" t="s">
        <v>38</v>
      </c>
      <c r="Y22" s="378" t="s">
        <v>37</v>
      </c>
      <c r="Z22" s="385" t="s">
        <v>36</v>
      </c>
      <c r="AA22" s="378" t="s">
        <v>35</v>
      </c>
      <c r="AB22" s="378" t="s">
        <v>34</v>
      </c>
      <c r="AC22" s="378" t="s">
        <v>33</v>
      </c>
      <c r="AD22" s="378" t="s">
        <v>32</v>
      </c>
      <c r="AE22" s="378" t="s">
        <v>31</v>
      </c>
      <c r="AF22" s="378" t="s">
        <v>30</v>
      </c>
      <c r="AG22" s="378"/>
      <c r="AH22" s="378"/>
      <c r="AI22" s="378"/>
      <c r="AJ22" s="378"/>
      <c r="AK22" s="378"/>
      <c r="AL22" s="378" t="s">
        <v>29</v>
      </c>
      <c r="AM22" s="378"/>
      <c r="AN22" s="378"/>
      <c r="AO22" s="378"/>
      <c r="AP22" s="378" t="s">
        <v>28</v>
      </c>
      <c r="AQ22" s="378"/>
      <c r="AR22" s="378" t="s">
        <v>27</v>
      </c>
      <c r="AS22" s="378" t="s">
        <v>26</v>
      </c>
      <c r="AT22" s="378" t="s">
        <v>25</v>
      </c>
      <c r="AU22" s="378" t="s">
        <v>24</v>
      </c>
      <c r="AV22" s="386" t="s">
        <v>23</v>
      </c>
    </row>
    <row r="23" spans="1:48" ht="64.5" customHeight="1" x14ac:dyDescent="0.25">
      <c r="A23" s="394"/>
      <c r="B23" s="398"/>
      <c r="C23" s="396"/>
      <c r="D23" s="396"/>
      <c r="E23" s="388" t="s">
        <v>21</v>
      </c>
      <c r="F23" s="379" t="s">
        <v>126</v>
      </c>
      <c r="G23" s="379" t="s">
        <v>125</v>
      </c>
      <c r="H23" s="379" t="s">
        <v>124</v>
      </c>
      <c r="I23" s="381" t="s">
        <v>353</v>
      </c>
      <c r="J23" s="381" t="s">
        <v>354</v>
      </c>
      <c r="K23" s="381" t="s">
        <v>355</v>
      </c>
      <c r="L23" s="379" t="s">
        <v>74</v>
      </c>
      <c r="M23" s="396"/>
      <c r="N23" s="396"/>
      <c r="O23" s="396"/>
      <c r="P23" s="378"/>
      <c r="Q23" s="378"/>
      <c r="R23" s="378"/>
      <c r="S23" s="390" t="s">
        <v>2</v>
      </c>
      <c r="T23" s="390" t="s">
        <v>9</v>
      </c>
      <c r="U23" s="385"/>
      <c r="V23" s="385"/>
      <c r="W23" s="378"/>
      <c r="X23" s="378"/>
      <c r="Y23" s="378"/>
      <c r="Z23" s="378"/>
      <c r="AA23" s="378"/>
      <c r="AB23" s="378"/>
      <c r="AC23" s="378"/>
      <c r="AD23" s="378"/>
      <c r="AE23" s="378"/>
      <c r="AF23" s="378" t="s">
        <v>20</v>
      </c>
      <c r="AG23" s="378"/>
      <c r="AH23" s="378" t="s">
        <v>19</v>
      </c>
      <c r="AI23" s="378"/>
      <c r="AJ23" s="383" t="s">
        <v>18</v>
      </c>
      <c r="AK23" s="383" t="s">
        <v>17</v>
      </c>
      <c r="AL23" s="383" t="s">
        <v>16</v>
      </c>
      <c r="AM23" s="383" t="s">
        <v>15</v>
      </c>
      <c r="AN23" s="383" t="s">
        <v>14</v>
      </c>
      <c r="AO23" s="383" t="s">
        <v>13</v>
      </c>
      <c r="AP23" s="383" t="s">
        <v>12</v>
      </c>
      <c r="AQ23" s="383" t="s">
        <v>9</v>
      </c>
      <c r="AR23" s="378"/>
      <c r="AS23" s="378"/>
      <c r="AT23" s="378"/>
      <c r="AU23" s="378"/>
      <c r="AV23" s="387"/>
    </row>
    <row r="24" spans="1:48" ht="96.75" customHeight="1" x14ac:dyDescent="0.25">
      <c r="A24" s="395"/>
      <c r="B24" s="399"/>
      <c r="C24" s="384"/>
      <c r="D24" s="384"/>
      <c r="E24" s="389"/>
      <c r="F24" s="380"/>
      <c r="G24" s="380"/>
      <c r="H24" s="380"/>
      <c r="I24" s="382"/>
      <c r="J24" s="382"/>
      <c r="K24" s="382"/>
      <c r="L24" s="380"/>
      <c r="M24" s="384"/>
      <c r="N24" s="384"/>
      <c r="O24" s="384"/>
      <c r="P24" s="378"/>
      <c r="Q24" s="378"/>
      <c r="R24" s="378"/>
      <c r="S24" s="391"/>
      <c r="T24" s="391"/>
      <c r="U24" s="385"/>
      <c r="V24" s="385"/>
      <c r="W24" s="378"/>
      <c r="X24" s="378"/>
      <c r="Y24" s="378"/>
      <c r="Z24" s="378"/>
      <c r="AA24" s="378"/>
      <c r="AB24" s="378"/>
      <c r="AC24" s="378"/>
      <c r="AD24" s="378"/>
      <c r="AE24" s="378"/>
      <c r="AF24" s="140" t="s">
        <v>11</v>
      </c>
      <c r="AG24" s="140" t="s">
        <v>10</v>
      </c>
      <c r="AH24" s="141" t="s">
        <v>2</v>
      </c>
      <c r="AI24" s="141" t="s">
        <v>9</v>
      </c>
      <c r="AJ24" s="384"/>
      <c r="AK24" s="384"/>
      <c r="AL24" s="384"/>
      <c r="AM24" s="384"/>
      <c r="AN24" s="384"/>
      <c r="AO24" s="384"/>
      <c r="AP24" s="384"/>
      <c r="AQ24" s="384"/>
      <c r="AR24" s="378"/>
      <c r="AS24" s="378"/>
      <c r="AT24" s="378"/>
      <c r="AU24" s="378"/>
      <c r="AV24" s="387"/>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63" x14ac:dyDescent="0.25">
      <c r="A26" s="145">
        <v>1</v>
      </c>
      <c r="B26" s="146" t="str">
        <f>A9</f>
        <v xml:space="preserve">Акционерное общество "Западная энергетическая компания" </v>
      </c>
      <c r="C26" s="146" t="s">
        <v>62</v>
      </c>
      <c r="D26" s="160">
        <f>'6.1. Паспорт сетевой график'!D53</f>
        <v>46381</v>
      </c>
      <c r="E26" s="146"/>
      <c r="F26" s="146"/>
      <c r="G26" s="146">
        <v>0.1</v>
      </c>
      <c r="H26" s="146"/>
      <c r="I26" s="146"/>
      <c r="J26" s="146"/>
      <c r="K26" s="146"/>
      <c r="L26" s="146">
        <v>24</v>
      </c>
      <c r="M26" s="146" t="s">
        <v>563</v>
      </c>
      <c r="N26" s="146" t="s">
        <v>544</v>
      </c>
      <c r="O26" s="147" t="str">
        <f>B26</f>
        <v xml:space="preserve">Акционерное общество "Западная энергетическая компания" </v>
      </c>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0" zoomScale="90" zoomScaleNormal="90" zoomScaleSheetLayoutView="90" workbookViewId="0">
      <selection activeCell="B118" sqref="B118"/>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421</v>
      </c>
    </row>
    <row r="4" spans="1:8" x14ac:dyDescent="0.25">
      <c r="B4" s="24"/>
    </row>
    <row r="5" spans="1:8" ht="18.75" x14ac:dyDescent="0.3">
      <c r="A5" s="408" t="str">
        <f>'1. паспорт местоположение'!A5:C5</f>
        <v>Год раскрытия информации: 2024 год</v>
      </c>
      <c r="B5" s="408"/>
      <c r="C5" s="52"/>
      <c r="D5" s="52"/>
      <c r="E5" s="52"/>
      <c r="F5" s="52"/>
      <c r="G5" s="52"/>
      <c r="H5" s="52"/>
    </row>
    <row r="6" spans="1:8" ht="18.75" x14ac:dyDescent="0.3">
      <c r="A6" s="84"/>
      <c r="B6" s="84"/>
      <c r="C6" s="84"/>
      <c r="D6" s="84"/>
      <c r="E6" s="84"/>
      <c r="F6" s="84"/>
      <c r="G6" s="84"/>
      <c r="H6" s="84"/>
    </row>
    <row r="7" spans="1:8" ht="18.75" x14ac:dyDescent="0.25">
      <c r="A7" s="306" t="s">
        <v>7</v>
      </c>
      <c r="B7" s="306"/>
      <c r="C7" s="107"/>
      <c r="D7" s="107"/>
      <c r="E7" s="107"/>
      <c r="F7" s="107"/>
      <c r="G7" s="107"/>
      <c r="H7" s="107"/>
    </row>
    <row r="8" spans="1:8" ht="18.75" x14ac:dyDescent="0.25">
      <c r="A8" s="107"/>
      <c r="B8" s="107"/>
      <c r="C8" s="107"/>
      <c r="D8" s="107"/>
      <c r="E8" s="107"/>
      <c r="F8" s="107"/>
      <c r="G8" s="107"/>
      <c r="H8" s="107"/>
    </row>
    <row r="9" spans="1:8" x14ac:dyDescent="0.25">
      <c r="A9" s="304" t="str">
        <f>'1. паспорт местоположение'!A9:C9</f>
        <v xml:space="preserve">Акционерное общество "Западная энергетическая компания" </v>
      </c>
      <c r="B9" s="304"/>
      <c r="C9" s="109"/>
      <c r="D9" s="109"/>
      <c r="E9" s="109"/>
      <c r="F9" s="109"/>
      <c r="G9" s="109"/>
      <c r="H9" s="109"/>
    </row>
    <row r="10" spans="1:8" x14ac:dyDescent="0.25">
      <c r="A10" s="310" t="s">
        <v>6</v>
      </c>
      <c r="B10" s="310"/>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04" t="str">
        <f>'1. паспорт местоположение'!A12:C12</f>
        <v>O 24-28</v>
      </c>
      <c r="B12" s="304"/>
      <c r="C12" s="109"/>
      <c r="D12" s="109"/>
      <c r="E12" s="109"/>
      <c r="F12" s="109"/>
      <c r="G12" s="109"/>
      <c r="H12" s="109"/>
    </row>
    <row r="13" spans="1:8" x14ac:dyDescent="0.25">
      <c r="A13" s="310" t="s">
        <v>5</v>
      </c>
      <c r="B13" s="310"/>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30"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5" s="330"/>
      <c r="C15" s="109"/>
      <c r="D15" s="109"/>
      <c r="E15" s="109"/>
      <c r="F15" s="109"/>
      <c r="G15" s="109"/>
      <c r="H15" s="109"/>
    </row>
    <row r="16" spans="1:8" x14ac:dyDescent="0.25">
      <c r="A16" s="310" t="s">
        <v>4</v>
      </c>
      <c r="B16" s="310"/>
      <c r="C16" s="110"/>
      <c r="D16" s="110"/>
      <c r="E16" s="110"/>
      <c r="F16" s="110"/>
      <c r="G16" s="110"/>
      <c r="H16" s="110"/>
    </row>
    <row r="17" spans="1:2" x14ac:dyDescent="0.25">
      <c r="B17" s="59"/>
    </row>
    <row r="18" spans="1:2" ht="33.75" customHeight="1" x14ac:dyDescent="0.25">
      <c r="A18" s="403" t="s">
        <v>407</v>
      </c>
      <c r="B18" s="404"/>
    </row>
    <row r="19" spans="1:2" x14ac:dyDescent="0.25">
      <c r="B19" s="24"/>
    </row>
    <row r="20" spans="1:2" ht="16.5" thickBot="1" x14ac:dyDescent="0.3">
      <c r="B20" s="60"/>
    </row>
    <row r="21" spans="1:2" ht="45.75" thickBot="1" x14ac:dyDescent="0.3">
      <c r="A21" s="61" t="s">
        <v>304</v>
      </c>
      <c r="B21" s="62" t="str">
        <f>A15</f>
        <v>Строительство нового РП на 7 выключателей  15 кВ с РЗА и ПА на микропроцессорной базе (замена СП-2 15 кВ)  в г. Пионерский Калининградской области</v>
      </c>
    </row>
    <row r="22" spans="1:2" ht="30" customHeight="1" thickBot="1" x14ac:dyDescent="0.3">
      <c r="A22" s="61" t="s">
        <v>305</v>
      </c>
      <c r="B22" s="193"/>
    </row>
    <row r="23" spans="1:2" ht="16.5" thickBot="1" x14ac:dyDescent="0.3">
      <c r="A23" s="61" t="s">
        <v>289</v>
      </c>
      <c r="B23" s="63" t="s">
        <v>595</v>
      </c>
    </row>
    <row r="24" spans="1:2" ht="16.5" thickBot="1" x14ac:dyDescent="0.3">
      <c r="A24" s="61" t="s">
        <v>306</v>
      </c>
      <c r="B24" s="63">
        <f>'6.2. Паспорт фин осв ввод'!C45</f>
        <v>0</v>
      </c>
    </row>
    <row r="25" spans="1:2" ht="16.5" thickBot="1" x14ac:dyDescent="0.3">
      <c r="A25" s="64" t="s">
        <v>307</v>
      </c>
      <c r="B25" s="62">
        <f>'3.3 паспорт описание'!C29</f>
        <v>2026</v>
      </c>
    </row>
    <row r="26" spans="1:2" ht="16.5" thickBot="1" x14ac:dyDescent="0.3">
      <c r="A26" s="65" t="s">
        <v>308</v>
      </c>
      <c r="B26" s="191" t="s">
        <v>568</v>
      </c>
    </row>
    <row r="27" spans="1:2" ht="29.25" thickBot="1" x14ac:dyDescent="0.3">
      <c r="A27" s="72" t="s">
        <v>572</v>
      </c>
      <c r="B27" s="192">
        <f>'[1]4'!D175</f>
        <v>0</v>
      </c>
    </row>
    <row r="28" spans="1:2" ht="42" customHeight="1" thickBot="1" x14ac:dyDescent="0.3">
      <c r="A28" s="67" t="s">
        <v>309</v>
      </c>
      <c r="B28" s="67" t="s">
        <v>596</v>
      </c>
    </row>
    <row r="29" spans="1:2" ht="29.25" thickBot="1" x14ac:dyDescent="0.3">
      <c r="A29" s="73" t="s">
        <v>310</v>
      </c>
      <c r="B29" s="101"/>
    </row>
    <row r="30" spans="1:2" ht="29.25" thickBot="1" x14ac:dyDescent="0.3">
      <c r="A30" s="73" t="s">
        <v>311</v>
      </c>
      <c r="B30" s="101">
        <f>B32+B53+B70</f>
        <v>0</v>
      </c>
    </row>
    <row r="31" spans="1:2" ht="16.5" thickBot="1" x14ac:dyDescent="0.3">
      <c r="A31" s="67" t="s">
        <v>312</v>
      </c>
      <c r="B31" s="101"/>
    </row>
    <row r="32" spans="1:2" ht="29.25" thickBot="1" x14ac:dyDescent="0.3">
      <c r="A32" s="73" t="s">
        <v>313</v>
      </c>
      <c r="B32" s="101">
        <f>B33</f>
        <v>0</v>
      </c>
    </row>
    <row r="33" spans="1:3" s="151" customFormat="1" ht="16.5" thickBot="1" x14ac:dyDescent="0.3">
      <c r="A33" s="158"/>
      <c r="B33" s="159"/>
      <c r="C33" s="151">
        <v>10</v>
      </c>
    </row>
    <row r="34" spans="1:3" ht="16.5" thickBot="1" x14ac:dyDescent="0.3">
      <c r="A34" s="67" t="s">
        <v>315</v>
      </c>
      <c r="B34" s="288" t="e">
        <f>B27/B33</f>
        <v>#DIV/0!</v>
      </c>
    </row>
    <row r="35" spans="1:3" ht="16.5" thickBot="1" x14ac:dyDescent="0.3">
      <c r="A35" s="67" t="s">
        <v>316</v>
      </c>
      <c r="B35" s="289"/>
      <c r="C35" s="32">
        <v>1</v>
      </c>
    </row>
    <row r="36" spans="1:3" ht="16.5" thickBot="1" x14ac:dyDescent="0.3">
      <c r="A36" s="67" t="s">
        <v>317</v>
      </c>
      <c r="B36" s="289"/>
      <c r="C36" s="32">
        <v>2</v>
      </c>
    </row>
    <row r="37" spans="1:3" s="151" customFormat="1" ht="16.5" thickBot="1" x14ac:dyDescent="0.3">
      <c r="A37" s="89" t="s">
        <v>314</v>
      </c>
      <c r="B37" s="290"/>
      <c r="C37" s="151">
        <v>10</v>
      </c>
    </row>
    <row r="38" spans="1:3" ht="16.5" thickBot="1" x14ac:dyDescent="0.3">
      <c r="A38" s="67" t="s">
        <v>315</v>
      </c>
      <c r="B38" s="288" t="e">
        <f>B37/$B$27</f>
        <v>#DIV/0!</v>
      </c>
    </row>
    <row r="39" spans="1:3" ht="16.5" thickBot="1" x14ac:dyDescent="0.3">
      <c r="A39" s="67" t="s">
        <v>316</v>
      </c>
      <c r="B39" s="291"/>
      <c r="C39" s="32">
        <v>1</v>
      </c>
    </row>
    <row r="40" spans="1:3" ht="16.5" thickBot="1" x14ac:dyDescent="0.3">
      <c r="A40" s="67" t="s">
        <v>317</v>
      </c>
      <c r="B40" s="291"/>
      <c r="C40" s="32">
        <v>2</v>
      </c>
    </row>
    <row r="41" spans="1:3" ht="16.5" thickBot="1" x14ac:dyDescent="0.3">
      <c r="A41" s="89" t="s">
        <v>314</v>
      </c>
      <c r="B41" s="290"/>
      <c r="C41" s="151">
        <v>10</v>
      </c>
    </row>
    <row r="42" spans="1:3" ht="16.5" thickBot="1" x14ac:dyDescent="0.3">
      <c r="A42" s="67" t="s">
        <v>315</v>
      </c>
      <c r="B42" s="288" t="e">
        <f>B41/$B$27</f>
        <v>#DIV/0!</v>
      </c>
    </row>
    <row r="43" spans="1:3" ht="16.5" thickBot="1" x14ac:dyDescent="0.3">
      <c r="A43" s="67" t="s">
        <v>316</v>
      </c>
      <c r="B43" s="291"/>
      <c r="C43" s="32">
        <v>1</v>
      </c>
    </row>
    <row r="44" spans="1:3" ht="16.5" thickBot="1" x14ac:dyDescent="0.3">
      <c r="A44" s="67" t="s">
        <v>317</v>
      </c>
      <c r="B44" s="291"/>
      <c r="C44" s="32">
        <v>2</v>
      </c>
    </row>
    <row r="45" spans="1:3" ht="16.5" thickBot="1" x14ac:dyDescent="0.3">
      <c r="A45" s="89" t="s">
        <v>314</v>
      </c>
      <c r="B45" s="290"/>
      <c r="C45" s="151">
        <v>10</v>
      </c>
    </row>
    <row r="46" spans="1:3" ht="16.5" thickBot="1" x14ac:dyDescent="0.3">
      <c r="A46" s="67" t="s">
        <v>315</v>
      </c>
      <c r="B46" s="288" t="e">
        <f>B45/$B$27</f>
        <v>#DIV/0!</v>
      </c>
    </row>
    <row r="47" spans="1:3" ht="16.5" thickBot="1" x14ac:dyDescent="0.3">
      <c r="A47" s="67" t="s">
        <v>316</v>
      </c>
      <c r="B47" s="291"/>
      <c r="C47" s="32">
        <v>1</v>
      </c>
    </row>
    <row r="48" spans="1:3" ht="16.5" thickBot="1" x14ac:dyDescent="0.3">
      <c r="A48" s="67" t="s">
        <v>317</v>
      </c>
      <c r="B48" s="291"/>
      <c r="C48" s="32">
        <v>2</v>
      </c>
    </row>
    <row r="49" spans="1:3" ht="16.5" thickBot="1" x14ac:dyDescent="0.3">
      <c r="A49" s="89" t="s">
        <v>314</v>
      </c>
      <c r="B49" s="290"/>
      <c r="C49" s="151">
        <v>10</v>
      </c>
    </row>
    <row r="50" spans="1:3" ht="16.5" thickBot="1" x14ac:dyDescent="0.3">
      <c r="A50" s="67" t="s">
        <v>315</v>
      </c>
      <c r="B50" s="288" t="e">
        <f>B49/$B$27</f>
        <v>#DIV/0!</v>
      </c>
    </row>
    <row r="51" spans="1:3" ht="16.5" thickBot="1" x14ac:dyDescent="0.3">
      <c r="A51" s="67" t="s">
        <v>316</v>
      </c>
      <c r="B51" s="88"/>
      <c r="C51" s="32">
        <v>1</v>
      </c>
    </row>
    <row r="52" spans="1:3" ht="16.5" thickBot="1" x14ac:dyDescent="0.3">
      <c r="A52" s="67" t="s">
        <v>317</v>
      </c>
      <c r="B52" s="88"/>
      <c r="C52" s="32">
        <v>2</v>
      </c>
    </row>
    <row r="53" spans="1:3" ht="29.25" thickBot="1" x14ac:dyDescent="0.3">
      <c r="A53" s="73" t="s">
        <v>318</v>
      </c>
      <c r="B53" s="88">
        <f xml:space="preserve"> SUMIF(C54:C110, 20,B54:B110)</f>
        <v>0</v>
      </c>
    </row>
    <row r="54" spans="1:3" s="151" customFormat="1" ht="16.5" thickBot="1" x14ac:dyDescent="0.3">
      <c r="A54" s="89" t="s">
        <v>314</v>
      </c>
      <c r="B54" s="90"/>
      <c r="C54" s="151">
        <v>20</v>
      </c>
    </row>
    <row r="55" spans="1:3" ht="16.5" thickBot="1" x14ac:dyDescent="0.3">
      <c r="A55" s="67" t="s">
        <v>315</v>
      </c>
      <c r="B55" s="288" t="e">
        <f>B54/$B$27</f>
        <v>#DIV/0!</v>
      </c>
    </row>
    <row r="56" spans="1:3" ht="16.5" thickBot="1" x14ac:dyDescent="0.3">
      <c r="A56" s="67" t="s">
        <v>316</v>
      </c>
      <c r="B56" s="291"/>
      <c r="C56" s="32">
        <v>1</v>
      </c>
    </row>
    <row r="57" spans="1:3" ht="16.5" thickBot="1" x14ac:dyDescent="0.3">
      <c r="A57" s="67" t="s">
        <v>317</v>
      </c>
      <c r="B57" s="291"/>
      <c r="C57" s="32">
        <v>2</v>
      </c>
    </row>
    <row r="58" spans="1:3" s="151" customFormat="1" ht="16.5" thickBot="1" x14ac:dyDescent="0.3">
      <c r="A58" s="89" t="s">
        <v>314</v>
      </c>
      <c r="B58" s="290"/>
      <c r="C58" s="151">
        <v>20</v>
      </c>
    </row>
    <row r="59" spans="1:3" ht="16.5" thickBot="1" x14ac:dyDescent="0.3">
      <c r="A59" s="67" t="s">
        <v>315</v>
      </c>
      <c r="B59" s="288" t="e">
        <f>B58/$B$27</f>
        <v>#DIV/0!</v>
      </c>
    </row>
    <row r="60" spans="1:3" ht="16.5" thickBot="1" x14ac:dyDescent="0.3">
      <c r="A60" s="67" t="s">
        <v>316</v>
      </c>
      <c r="B60" s="291"/>
      <c r="C60" s="32">
        <v>1</v>
      </c>
    </row>
    <row r="61" spans="1:3" ht="16.5" thickBot="1" x14ac:dyDescent="0.3">
      <c r="A61" s="67" t="s">
        <v>317</v>
      </c>
      <c r="B61" s="291"/>
      <c r="C61" s="32">
        <v>2</v>
      </c>
    </row>
    <row r="62" spans="1:3" s="151" customFormat="1" ht="16.5" thickBot="1" x14ac:dyDescent="0.3">
      <c r="A62" s="89" t="s">
        <v>314</v>
      </c>
      <c r="B62" s="290"/>
      <c r="C62" s="151">
        <v>20</v>
      </c>
    </row>
    <row r="63" spans="1:3" ht="16.5" thickBot="1" x14ac:dyDescent="0.3">
      <c r="A63" s="67" t="s">
        <v>315</v>
      </c>
      <c r="B63" s="288" t="e">
        <f>B62/$B$27</f>
        <v>#DIV/0!</v>
      </c>
    </row>
    <row r="64" spans="1:3" ht="16.5" thickBot="1" x14ac:dyDescent="0.3">
      <c r="A64" s="67" t="s">
        <v>316</v>
      </c>
      <c r="B64" s="88"/>
      <c r="C64" s="32">
        <v>1</v>
      </c>
    </row>
    <row r="65" spans="1:3" ht="16.5" thickBot="1" x14ac:dyDescent="0.3">
      <c r="A65" s="67" t="s">
        <v>317</v>
      </c>
      <c r="B65" s="88"/>
      <c r="C65" s="32">
        <v>2</v>
      </c>
    </row>
    <row r="66" spans="1:3" s="151" customFormat="1" ht="16.5" thickBot="1" x14ac:dyDescent="0.3">
      <c r="A66" s="89" t="s">
        <v>314</v>
      </c>
      <c r="B66" s="90"/>
      <c r="C66" s="151">
        <v>20</v>
      </c>
    </row>
    <row r="67" spans="1:3" ht="16.5" thickBot="1" x14ac:dyDescent="0.3">
      <c r="A67" s="67" t="s">
        <v>315</v>
      </c>
      <c r="B67" s="288" t="e">
        <f>B66/$B$27</f>
        <v>#DIV/0!</v>
      </c>
    </row>
    <row r="68" spans="1:3" ht="16.5" thickBot="1" x14ac:dyDescent="0.3">
      <c r="A68" s="67" t="s">
        <v>316</v>
      </c>
      <c r="B68" s="88"/>
      <c r="C68" s="32">
        <v>1</v>
      </c>
    </row>
    <row r="69" spans="1:3" ht="16.5" thickBot="1" x14ac:dyDescent="0.3">
      <c r="A69" s="67" t="s">
        <v>317</v>
      </c>
      <c r="B69" s="88"/>
      <c r="C69" s="32">
        <v>2</v>
      </c>
    </row>
    <row r="70" spans="1:3" ht="29.25" thickBot="1" x14ac:dyDescent="0.3">
      <c r="A70" s="73" t="s">
        <v>319</v>
      </c>
      <c r="B70" s="88"/>
    </row>
    <row r="71" spans="1:3" s="151" customFormat="1" ht="30.75" thickBot="1" x14ac:dyDescent="0.3">
      <c r="A71" s="158" t="s">
        <v>603</v>
      </c>
      <c r="B71" s="159"/>
      <c r="C71" s="151">
        <v>30</v>
      </c>
    </row>
    <row r="72" spans="1:3" ht="16.5" thickBot="1" x14ac:dyDescent="0.3">
      <c r="A72" s="67" t="s">
        <v>315</v>
      </c>
      <c r="B72" s="288" t="e">
        <f>B71/B27</f>
        <v>#DIV/0!</v>
      </c>
    </row>
    <row r="73" spans="1:3" ht="16.5" thickBot="1" x14ac:dyDescent="0.3">
      <c r="A73" s="67" t="s">
        <v>316</v>
      </c>
      <c r="B73" s="101"/>
      <c r="C73" s="32">
        <v>1</v>
      </c>
    </row>
    <row r="74" spans="1:3" ht="16.5" thickBot="1" x14ac:dyDescent="0.3">
      <c r="A74" s="67" t="s">
        <v>317</v>
      </c>
      <c r="B74" s="101"/>
      <c r="C74" s="32">
        <v>2</v>
      </c>
    </row>
    <row r="75" spans="1:3" s="151" customFormat="1" ht="16.5" thickBot="1" x14ac:dyDescent="0.3">
      <c r="A75" s="158"/>
      <c r="B75" s="159"/>
      <c r="C75" s="151">
        <v>30</v>
      </c>
    </row>
    <row r="76" spans="1:3" ht="16.5" thickBot="1" x14ac:dyDescent="0.3">
      <c r="A76" s="67" t="s">
        <v>315</v>
      </c>
      <c r="B76" s="91"/>
    </row>
    <row r="77" spans="1:3" ht="16.5" thickBot="1" x14ac:dyDescent="0.3">
      <c r="A77" s="67" t="s">
        <v>316</v>
      </c>
      <c r="B77" s="101"/>
      <c r="C77" s="32">
        <v>1</v>
      </c>
    </row>
    <row r="78" spans="1:3" ht="16.5" thickBot="1" x14ac:dyDescent="0.3">
      <c r="A78" s="67" t="s">
        <v>317</v>
      </c>
      <c r="B78" s="101"/>
      <c r="C78" s="32">
        <v>2</v>
      </c>
    </row>
    <row r="79" spans="1:3" s="151" customFormat="1" ht="16.5" thickBot="1" x14ac:dyDescent="0.3">
      <c r="A79" s="158"/>
      <c r="B79" s="159"/>
      <c r="C79" s="151">
        <v>30</v>
      </c>
    </row>
    <row r="80" spans="1:3" ht="16.5" thickBot="1" x14ac:dyDescent="0.3">
      <c r="A80" s="67" t="s">
        <v>315</v>
      </c>
      <c r="B80" s="91"/>
    </row>
    <row r="81" spans="1:3" ht="16.5" thickBot="1" x14ac:dyDescent="0.3">
      <c r="A81" s="67" t="s">
        <v>316</v>
      </c>
      <c r="B81" s="88"/>
      <c r="C81" s="32">
        <v>1</v>
      </c>
    </row>
    <row r="82" spans="1:3" ht="16.5" thickBot="1" x14ac:dyDescent="0.3">
      <c r="A82" s="67" t="s">
        <v>317</v>
      </c>
      <c r="B82" s="88"/>
      <c r="C82" s="32">
        <v>2</v>
      </c>
    </row>
    <row r="83" spans="1:3" s="151" customFormat="1" ht="16.5" thickBot="1" x14ac:dyDescent="0.3">
      <c r="A83" s="89" t="s">
        <v>314</v>
      </c>
      <c r="B83" s="90"/>
      <c r="C83" s="151">
        <v>30</v>
      </c>
    </row>
    <row r="84" spans="1:3" ht="16.5" thickBot="1" x14ac:dyDescent="0.3">
      <c r="A84" s="67" t="s">
        <v>315</v>
      </c>
      <c r="B84" s="91"/>
    </row>
    <row r="85" spans="1:3" ht="16.5" thickBot="1" x14ac:dyDescent="0.3">
      <c r="A85" s="67" t="s">
        <v>316</v>
      </c>
      <c r="B85" s="88"/>
      <c r="C85" s="32">
        <v>1</v>
      </c>
    </row>
    <row r="86" spans="1:3" ht="16.5" thickBot="1" x14ac:dyDescent="0.3">
      <c r="A86" s="67" t="s">
        <v>317</v>
      </c>
      <c r="B86" s="88"/>
      <c r="C86" s="32">
        <v>2</v>
      </c>
    </row>
    <row r="87" spans="1:3" s="151" customFormat="1" ht="16.5" thickBot="1" x14ac:dyDescent="0.3">
      <c r="A87" s="89" t="s">
        <v>314</v>
      </c>
      <c r="B87" s="90"/>
      <c r="C87" s="151">
        <v>30</v>
      </c>
    </row>
    <row r="88" spans="1:3" ht="16.5" thickBot="1" x14ac:dyDescent="0.3">
      <c r="A88" s="67" t="s">
        <v>315</v>
      </c>
      <c r="B88" s="91"/>
    </row>
    <row r="89" spans="1:3" ht="16.5" thickBot="1" x14ac:dyDescent="0.3">
      <c r="A89" s="67" t="s">
        <v>316</v>
      </c>
      <c r="B89" s="88"/>
      <c r="C89" s="32">
        <v>1</v>
      </c>
    </row>
    <row r="90" spans="1:3" ht="16.5" thickBot="1" x14ac:dyDescent="0.3">
      <c r="A90" s="67" t="s">
        <v>317</v>
      </c>
      <c r="B90" s="88"/>
      <c r="C90" s="32">
        <v>2</v>
      </c>
    </row>
    <row r="91" spans="1:3" s="151" customFormat="1" ht="16.5" thickBot="1" x14ac:dyDescent="0.3">
      <c r="A91" s="89" t="s">
        <v>314</v>
      </c>
      <c r="B91" s="90"/>
      <c r="C91" s="151">
        <v>30</v>
      </c>
    </row>
    <row r="92" spans="1:3" ht="16.5" thickBot="1" x14ac:dyDescent="0.3">
      <c r="A92" s="67" t="s">
        <v>315</v>
      </c>
      <c r="B92" s="91"/>
    </row>
    <row r="93" spans="1:3" ht="16.5" thickBot="1" x14ac:dyDescent="0.3">
      <c r="A93" s="67" t="s">
        <v>316</v>
      </c>
      <c r="B93" s="88"/>
      <c r="C93" s="32">
        <v>1</v>
      </c>
    </row>
    <row r="94" spans="1:3" ht="16.5" thickBot="1" x14ac:dyDescent="0.3">
      <c r="A94" s="67" t="s">
        <v>317</v>
      </c>
      <c r="B94" s="88"/>
      <c r="C94" s="32">
        <v>2</v>
      </c>
    </row>
    <row r="95" spans="1:3" s="151" customFormat="1" ht="16.5" thickBot="1" x14ac:dyDescent="0.3">
      <c r="A95" s="89" t="s">
        <v>314</v>
      </c>
      <c r="B95" s="90"/>
      <c r="C95" s="151">
        <v>30</v>
      </c>
    </row>
    <row r="96" spans="1:3" ht="16.5" thickBot="1" x14ac:dyDescent="0.3">
      <c r="A96" s="67" t="s">
        <v>315</v>
      </c>
      <c r="B96" s="91"/>
    </row>
    <row r="97" spans="1:3" ht="16.5" thickBot="1" x14ac:dyDescent="0.3">
      <c r="A97" s="67" t="s">
        <v>316</v>
      </c>
      <c r="B97" s="88"/>
      <c r="C97" s="32">
        <v>1</v>
      </c>
    </row>
    <row r="98" spans="1:3" ht="16.5" thickBot="1" x14ac:dyDescent="0.3">
      <c r="A98" s="67" t="s">
        <v>317</v>
      </c>
      <c r="B98" s="88"/>
      <c r="C98" s="32">
        <v>2</v>
      </c>
    </row>
    <row r="99" spans="1:3" s="151" customFormat="1" ht="16.5" thickBot="1" x14ac:dyDescent="0.3">
      <c r="A99" s="89" t="s">
        <v>314</v>
      </c>
      <c r="B99" s="90"/>
      <c r="C99" s="151">
        <v>30</v>
      </c>
    </row>
    <row r="100" spans="1:3" ht="16.5" thickBot="1" x14ac:dyDescent="0.3">
      <c r="A100" s="67" t="s">
        <v>315</v>
      </c>
      <c r="B100" s="288" t="e">
        <f>B99/$B$27</f>
        <v>#DIV/0!</v>
      </c>
    </row>
    <row r="101" spans="1:3" ht="16.5" thickBot="1" x14ac:dyDescent="0.3">
      <c r="A101" s="67" t="s">
        <v>316</v>
      </c>
      <c r="B101" s="291"/>
      <c r="C101" s="32">
        <v>1</v>
      </c>
    </row>
    <row r="102" spans="1:3" ht="16.5" thickBot="1" x14ac:dyDescent="0.3">
      <c r="A102" s="67" t="s">
        <v>317</v>
      </c>
      <c r="B102" s="291"/>
      <c r="C102" s="32">
        <v>2</v>
      </c>
    </row>
    <row r="103" spans="1:3" s="151" customFormat="1" ht="16.5" thickBot="1" x14ac:dyDescent="0.3">
      <c r="A103" s="89" t="s">
        <v>314</v>
      </c>
      <c r="B103" s="290"/>
      <c r="C103" s="151">
        <v>30</v>
      </c>
    </row>
    <row r="104" spans="1:3" ht="16.5" thickBot="1" x14ac:dyDescent="0.3">
      <c r="A104" s="67" t="s">
        <v>315</v>
      </c>
      <c r="B104" s="288" t="e">
        <f>B103/$B$27</f>
        <v>#DIV/0!</v>
      </c>
    </row>
    <row r="105" spans="1:3" ht="16.5" thickBot="1" x14ac:dyDescent="0.3">
      <c r="A105" s="67" t="s">
        <v>316</v>
      </c>
      <c r="B105" s="88"/>
      <c r="C105" s="32">
        <v>1</v>
      </c>
    </row>
    <row r="106" spans="1:3" ht="16.5" thickBot="1" x14ac:dyDescent="0.3">
      <c r="A106" s="67" t="s">
        <v>317</v>
      </c>
      <c r="B106" s="88"/>
      <c r="C106" s="32">
        <v>2</v>
      </c>
    </row>
    <row r="107" spans="1:3" s="151" customFormat="1" ht="16.5" thickBot="1" x14ac:dyDescent="0.3">
      <c r="A107" s="89" t="s">
        <v>314</v>
      </c>
      <c r="B107" s="90"/>
      <c r="C107" s="151">
        <v>30</v>
      </c>
    </row>
    <row r="108" spans="1:3" ht="16.5" thickBot="1" x14ac:dyDescent="0.3">
      <c r="A108" s="67" t="s">
        <v>315</v>
      </c>
      <c r="B108" s="288" t="e">
        <f>B107/$B$27</f>
        <v>#DIV/0!</v>
      </c>
    </row>
    <row r="109" spans="1:3" ht="16.5" thickBot="1" x14ac:dyDescent="0.3">
      <c r="A109" s="67" t="s">
        <v>316</v>
      </c>
      <c r="B109" s="291"/>
      <c r="C109" s="32">
        <v>1</v>
      </c>
    </row>
    <row r="110" spans="1:3" ht="16.5" thickBot="1" x14ac:dyDescent="0.3">
      <c r="A110" s="67" t="s">
        <v>317</v>
      </c>
      <c r="B110" s="291"/>
      <c r="C110" s="32">
        <v>2</v>
      </c>
    </row>
    <row r="111" spans="1:3" ht="29.25" thickBot="1" x14ac:dyDescent="0.3">
      <c r="A111" s="66" t="s">
        <v>320</v>
      </c>
      <c r="B111" s="288" t="e">
        <f>B30/B27</f>
        <v>#DIV/0!</v>
      </c>
    </row>
    <row r="112" spans="1:3" ht="16.5" thickBot="1" x14ac:dyDescent="0.3">
      <c r="A112" s="68" t="s">
        <v>312</v>
      </c>
      <c r="B112" s="292"/>
    </row>
    <row r="113" spans="1:2" ht="16.5" thickBot="1" x14ac:dyDescent="0.3">
      <c r="A113" s="68" t="s">
        <v>321</v>
      </c>
      <c r="B113" s="288" t="e">
        <f>B33/B27</f>
        <v>#DIV/0!</v>
      </c>
    </row>
    <row r="114" spans="1:2" ht="16.5" thickBot="1" x14ac:dyDescent="0.3">
      <c r="A114" s="68" t="s">
        <v>322</v>
      </c>
      <c r="B114" s="288"/>
    </row>
    <row r="115" spans="1:2" ht="16.5" thickBot="1" x14ac:dyDescent="0.3">
      <c r="A115" s="68" t="s">
        <v>323</v>
      </c>
      <c r="B115" s="288" t="e">
        <f>B70/B27</f>
        <v>#DIV/0!</v>
      </c>
    </row>
    <row r="116" spans="1:2" ht="16.5" thickBot="1" x14ac:dyDescent="0.3">
      <c r="A116" s="64" t="s">
        <v>324</v>
      </c>
      <c r="B116" s="293" t="e">
        <f>B117/$B$27</f>
        <v>#DIV/0!</v>
      </c>
    </row>
    <row r="117" spans="1:2" ht="16.5" thickBot="1" x14ac:dyDescent="0.3">
      <c r="A117" s="64" t="s">
        <v>325</v>
      </c>
      <c r="B117" s="176">
        <f xml:space="preserve"> SUMIF(C33:C110, 1,B33:B110)</f>
        <v>0</v>
      </c>
    </row>
    <row r="118" spans="1:2" ht="16.5" thickBot="1" x14ac:dyDescent="0.3">
      <c r="A118" s="64" t="s">
        <v>326</v>
      </c>
      <c r="B118" s="293" t="e">
        <f>B119/$B$27</f>
        <v>#DIV/0!</v>
      </c>
    </row>
    <row r="119" spans="1:2" ht="16.5" thickBot="1" x14ac:dyDescent="0.3">
      <c r="A119" s="65" t="s">
        <v>327</v>
      </c>
      <c r="B119" s="176">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7"/>
    </row>
    <row r="128" spans="1:2" ht="16.5" thickBot="1" x14ac:dyDescent="0.3">
      <c r="A128" s="68" t="s">
        <v>312</v>
      </c>
      <c r="B128" s="178"/>
    </row>
    <row r="129" spans="1:2" ht="16.5" thickBot="1" x14ac:dyDescent="0.3">
      <c r="A129" s="68" t="s">
        <v>337</v>
      </c>
      <c r="B129" s="177"/>
    </row>
    <row r="130" spans="1:2" ht="16.5" thickBot="1" x14ac:dyDescent="0.3">
      <c r="A130" s="68" t="s">
        <v>338</v>
      </c>
      <c r="B130" s="178"/>
    </row>
    <row r="131" spans="1:2" ht="16.5" thickBot="1" x14ac:dyDescent="0.3">
      <c r="A131" s="76" t="s">
        <v>339</v>
      </c>
      <c r="B131" s="104"/>
    </row>
    <row r="132" spans="1:2" ht="16.5" thickBot="1" x14ac:dyDescent="0.3">
      <c r="A132" s="64" t="s">
        <v>340</v>
      </c>
      <c r="B132" s="74"/>
    </row>
    <row r="133" spans="1:2" ht="16.5" thickBot="1" x14ac:dyDescent="0.3">
      <c r="A133" s="70" t="s">
        <v>341</v>
      </c>
      <c r="B133" s="175">
        <f>'6.1. Паспорт сетевой график'!H43</f>
        <v>0</v>
      </c>
    </row>
    <row r="134" spans="1:2" ht="16.5" thickBot="1" x14ac:dyDescent="0.3">
      <c r="A134" s="70" t="s">
        <v>342</v>
      </c>
      <c r="B134" s="77" t="s">
        <v>541</v>
      </c>
    </row>
    <row r="135" spans="1:2" ht="16.5" thickBot="1" x14ac:dyDescent="0.3">
      <c r="A135" s="70" t="s">
        <v>343</v>
      </c>
      <c r="B135" s="77" t="s">
        <v>541</v>
      </c>
    </row>
    <row r="136" spans="1:2" ht="29.25" thickBot="1" x14ac:dyDescent="0.3">
      <c r="A136" s="78" t="s">
        <v>344</v>
      </c>
      <c r="B136" s="75"/>
    </row>
    <row r="137" spans="1:2" ht="28.5" customHeight="1" x14ac:dyDescent="0.25">
      <c r="A137" s="66" t="s">
        <v>345</v>
      </c>
      <c r="B137" s="405" t="s">
        <v>541</v>
      </c>
    </row>
    <row r="138" spans="1:2" x14ac:dyDescent="0.25">
      <c r="A138" s="70" t="s">
        <v>346</v>
      </c>
      <c r="B138" s="406"/>
    </row>
    <row r="139" spans="1:2" x14ac:dyDescent="0.25">
      <c r="A139" s="70" t="s">
        <v>347</v>
      </c>
      <c r="B139" s="406"/>
    </row>
    <row r="140" spans="1:2" x14ac:dyDescent="0.25">
      <c r="A140" s="70" t="s">
        <v>348</v>
      </c>
      <c r="B140" s="406"/>
    </row>
    <row r="141" spans="1:2" x14ac:dyDescent="0.25">
      <c r="A141" s="70" t="s">
        <v>349</v>
      </c>
      <c r="B141" s="406"/>
    </row>
    <row r="142" spans="1:2" ht="16.5" thickBot="1" x14ac:dyDescent="0.3">
      <c r="A142" s="79" t="s">
        <v>350</v>
      </c>
      <c r="B142" s="407"/>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zoomScale="70" zoomScaleSheetLayoutView="70" workbookViewId="0">
      <selection activeCell="E24" sqref="E24"/>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row>
    <row r="5" spans="1:28" s="14" customFormat="1" ht="15.75" x14ac:dyDescent="0.2">
      <c r="A5" s="105"/>
    </row>
    <row r="6" spans="1:28" s="14" customFormat="1" ht="18.75" x14ac:dyDescent="0.2">
      <c r="A6" s="306" t="s">
        <v>7</v>
      </c>
      <c r="B6" s="306"/>
      <c r="C6" s="306"/>
      <c r="D6" s="306"/>
      <c r="E6" s="306"/>
      <c r="F6" s="306"/>
      <c r="G6" s="306"/>
      <c r="H6" s="306"/>
      <c r="I6" s="306"/>
      <c r="J6" s="306"/>
      <c r="K6" s="306"/>
      <c r="L6" s="306"/>
      <c r="M6" s="306"/>
      <c r="N6" s="306"/>
      <c r="O6" s="306"/>
      <c r="P6" s="306"/>
      <c r="Q6" s="306"/>
      <c r="R6" s="306"/>
      <c r="S6" s="306"/>
      <c r="T6" s="107"/>
      <c r="U6" s="107"/>
      <c r="V6" s="107"/>
      <c r="W6" s="107"/>
      <c r="X6" s="107"/>
      <c r="Y6" s="107"/>
      <c r="Z6" s="107"/>
      <c r="AA6" s="107"/>
      <c r="AB6" s="107"/>
    </row>
    <row r="7" spans="1:28" s="14" customFormat="1" ht="18.75" x14ac:dyDescent="0.2">
      <c r="A7" s="306"/>
      <c r="B7" s="306"/>
      <c r="C7" s="306"/>
      <c r="D7" s="306"/>
      <c r="E7" s="306"/>
      <c r="F7" s="306"/>
      <c r="G7" s="306"/>
      <c r="H7" s="306"/>
      <c r="I7" s="306"/>
      <c r="J7" s="306"/>
      <c r="K7" s="306"/>
      <c r="L7" s="306"/>
      <c r="M7" s="306"/>
      <c r="N7" s="306"/>
      <c r="O7" s="306"/>
      <c r="P7" s="306"/>
      <c r="Q7" s="306"/>
      <c r="R7" s="306"/>
      <c r="S7" s="306"/>
      <c r="T7" s="107"/>
      <c r="U7" s="107"/>
      <c r="V7" s="107"/>
      <c r="W7" s="107"/>
      <c r="X7" s="107"/>
      <c r="Y7" s="107"/>
      <c r="Z7" s="107"/>
      <c r="AA7" s="107"/>
      <c r="AB7" s="107"/>
    </row>
    <row r="8" spans="1:28" s="14" customFormat="1" ht="18.75" x14ac:dyDescent="0.2">
      <c r="A8" s="304" t="str">
        <f>'1. паспорт местоположение'!A9:C9</f>
        <v xml:space="preserve">Акционерное общество "Западная энергетическая компания" </v>
      </c>
      <c r="B8" s="304"/>
      <c r="C8" s="304"/>
      <c r="D8" s="304"/>
      <c r="E8" s="304"/>
      <c r="F8" s="304"/>
      <c r="G8" s="304"/>
      <c r="H8" s="304"/>
      <c r="I8" s="304"/>
      <c r="J8" s="304"/>
      <c r="K8" s="304"/>
      <c r="L8" s="304"/>
      <c r="M8" s="304"/>
      <c r="N8" s="304"/>
      <c r="O8" s="304"/>
      <c r="P8" s="304"/>
      <c r="Q8" s="304"/>
      <c r="R8" s="304"/>
      <c r="S8" s="304"/>
      <c r="T8" s="107"/>
      <c r="U8" s="107"/>
      <c r="V8" s="107"/>
      <c r="W8" s="107"/>
      <c r="X8" s="107"/>
      <c r="Y8" s="107"/>
      <c r="Z8" s="107"/>
      <c r="AA8" s="107"/>
      <c r="AB8" s="107"/>
    </row>
    <row r="9" spans="1:28" s="14" customFormat="1" ht="18.75" x14ac:dyDescent="0.2">
      <c r="A9" s="310" t="s">
        <v>6</v>
      </c>
      <c r="B9" s="310"/>
      <c r="C9" s="310"/>
      <c r="D9" s="310"/>
      <c r="E9" s="310"/>
      <c r="F9" s="310"/>
      <c r="G9" s="310"/>
      <c r="H9" s="310"/>
      <c r="I9" s="310"/>
      <c r="J9" s="310"/>
      <c r="K9" s="310"/>
      <c r="L9" s="310"/>
      <c r="M9" s="310"/>
      <c r="N9" s="310"/>
      <c r="O9" s="310"/>
      <c r="P9" s="310"/>
      <c r="Q9" s="310"/>
      <c r="R9" s="310"/>
      <c r="S9" s="310"/>
      <c r="T9" s="107"/>
      <c r="U9" s="107"/>
      <c r="V9" s="107"/>
      <c r="W9" s="107"/>
      <c r="X9" s="107"/>
      <c r="Y9" s="107"/>
      <c r="Z9" s="107"/>
      <c r="AA9" s="107"/>
      <c r="AB9" s="107"/>
    </row>
    <row r="10" spans="1:28" s="14" customFormat="1" ht="18.75" x14ac:dyDescent="0.2">
      <c r="A10" s="306"/>
      <c r="B10" s="306"/>
      <c r="C10" s="306"/>
      <c r="D10" s="306"/>
      <c r="E10" s="306"/>
      <c r="F10" s="306"/>
      <c r="G10" s="306"/>
      <c r="H10" s="306"/>
      <c r="I10" s="306"/>
      <c r="J10" s="306"/>
      <c r="K10" s="306"/>
      <c r="L10" s="306"/>
      <c r="M10" s="306"/>
      <c r="N10" s="306"/>
      <c r="O10" s="306"/>
      <c r="P10" s="306"/>
      <c r="Q10" s="306"/>
      <c r="R10" s="306"/>
      <c r="S10" s="306"/>
      <c r="T10" s="107"/>
      <c r="U10" s="107"/>
      <c r="V10" s="107"/>
      <c r="W10" s="107"/>
      <c r="X10" s="107"/>
      <c r="Y10" s="107"/>
      <c r="Z10" s="107"/>
      <c r="AA10" s="107"/>
      <c r="AB10" s="107"/>
    </row>
    <row r="11" spans="1:28" s="14" customFormat="1" ht="18.75" x14ac:dyDescent="0.2">
      <c r="A11" s="304" t="str">
        <f>'1. паспорт местоположение'!A12:C12</f>
        <v>O 24-28</v>
      </c>
      <c r="B11" s="304"/>
      <c r="C11" s="304"/>
      <c r="D11" s="304"/>
      <c r="E11" s="304"/>
      <c r="F11" s="304"/>
      <c r="G11" s="304"/>
      <c r="H11" s="304"/>
      <c r="I11" s="304"/>
      <c r="J11" s="304"/>
      <c r="K11" s="304"/>
      <c r="L11" s="304"/>
      <c r="M11" s="304"/>
      <c r="N11" s="304"/>
      <c r="O11" s="304"/>
      <c r="P11" s="304"/>
      <c r="Q11" s="304"/>
      <c r="R11" s="304"/>
      <c r="S11" s="304"/>
      <c r="T11" s="107"/>
      <c r="U11" s="107"/>
      <c r="V11" s="107"/>
      <c r="W11" s="107"/>
      <c r="X11" s="107"/>
      <c r="Y11" s="107"/>
      <c r="Z11" s="107"/>
      <c r="AA11" s="107"/>
      <c r="AB11" s="107"/>
    </row>
    <row r="12" spans="1:28" s="14" customFormat="1" ht="18.75" x14ac:dyDescent="0.2">
      <c r="A12" s="310" t="s">
        <v>5</v>
      </c>
      <c r="B12" s="310"/>
      <c r="C12" s="310"/>
      <c r="D12" s="310"/>
      <c r="E12" s="310"/>
      <c r="F12" s="310"/>
      <c r="G12" s="310"/>
      <c r="H12" s="310"/>
      <c r="I12" s="310"/>
      <c r="J12" s="310"/>
      <c r="K12" s="310"/>
      <c r="L12" s="310"/>
      <c r="M12" s="310"/>
      <c r="N12" s="310"/>
      <c r="O12" s="310"/>
      <c r="P12" s="310"/>
      <c r="Q12" s="310"/>
      <c r="R12" s="310"/>
      <c r="S12" s="310"/>
      <c r="T12" s="107"/>
      <c r="U12" s="107"/>
      <c r="V12" s="107"/>
      <c r="W12" s="107"/>
      <c r="X12" s="107"/>
      <c r="Y12" s="107"/>
      <c r="Z12" s="107"/>
      <c r="AA12" s="107"/>
      <c r="AB12" s="107"/>
    </row>
    <row r="13" spans="1:28" s="14" customFormat="1" ht="15.75" customHeight="1" x14ac:dyDescent="0.2">
      <c r="A13" s="311"/>
      <c r="B13" s="311"/>
      <c r="C13" s="311"/>
      <c r="D13" s="311"/>
      <c r="E13" s="311"/>
      <c r="F13" s="311"/>
      <c r="G13" s="311"/>
      <c r="H13" s="311"/>
      <c r="I13" s="311"/>
      <c r="J13" s="311"/>
      <c r="K13" s="311"/>
      <c r="L13" s="311"/>
      <c r="M13" s="311"/>
      <c r="N13" s="311"/>
      <c r="O13" s="311"/>
      <c r="P13" s="311"/>
      <c r="Q13" s="311"/>
      <c r="R13" s="311"/>
      <c r="S13" s="311"/>
      <c r="T13" s="108"/>
      <c r="U13" s="108"/>
      <c r="V13" s="108"/>
      <c r="W13" s="108"/>
      <c r="X13" s="108"/>
      <c r="Y13" s="108"/>
      <c r="Z13" s="108"/>
      <c r="AA13" s="108"/>
      <c r="AB13" s="108"/>
    </row>
    <row r="14" spans="1:28" s="106" customFormat="1" ht="15.75" x14ac:dyDescent="0.2">
      <c r="A14" s="304"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4" s="304"/>
      <c r="C14" s="304"/>
      <c r="D14" s="304"/>
      <c r="E14" s="304"/>
      <c r="F14" s="304"/>
      <c r="G14" s="304"/>
      <c r="H14" s="304"/>
      <c r="I14" s="304"/>
      <c r="J14" s="304"/>
      <c r="K14" s="304"/>
      <c r="L14" s="304"/>
      <c r="M14" s="304"/>
      <c r="N14" s="304"/>
      <c r="O14" s="304"/>
      <c r="P14" s="304"/>
      <c r="Q14" s="304"/>
      <c r="R14" s="304"/>
      <c r="S14" s="304"/>
      <c r="T14" s="109"/>
      <c r="U14" s="109"/>
      <c r="V14" s="109"/>
      <c r="W14" s="109"/>
      <c r="X14" s="109"/>
      <c r="Y14" s="109"/>
      <c r="Z14" s="109"/>
      <c r="AA14" s="109"/>
      <c r="AB14" s="109"/>
    </row>
    <row r="15" spans="1:28" s="106" customFormat="1" ht="15" customHeight="1" x14ac:dyDescent="0.2">
      <c r="A15" s="310" t="s">
        <v>4</v>
      </c>
      <c r="B15" s="310"/>
      <c r="C15" s="310"/>
      <c r="D15" s="310"/>
      <c r="E15" s="310"/>
      <c r="F15" s="310"/>
      <c r="G15" s="310"/>
      <c r="H15" s="310"/>
      <c r="I15" s="310"/>
      <c r="J15" s="310"/>
      <c r="K15" s="310"/>
      <c r="L15" s="310"/>
      <c r="M15" s="310"/>
      <c r="N15" s="310"/>
      <c r="O15" s="310"/>
      <c r="P15" s="310"/>
      <c r="Q15" s="310"/>
      <c r="R15" s="310"/>
      <c r="S15" s="310"/>
      <c r="T15" s="110"/>
      <c r="U15" s="110"/>
      <c r="V15" s="110"/>
      <c r="W15" s="110"/>
      <c r="X15" s="110"/>
      <c r="Y15" s="110"/>
      <c r="Z15" s="110"/>
      <c r="AA15" s="110"/>
      <c r="AB15" s="110"/>
    </row>
    <row r="16" spans="1:28" s="106" customFormat="1" ht="15" customHeight="1" x14ac:dyDescent="0.2">
      <c r="A16" s="311"/>
      <c r="B16" s="311"/>
      <c r="C16" s="311"/>
      <c r="D16" s="311"/>
      <c r="E16" s="311"/>
      <c r="F16" s="311"/>
      <c r="G16" s="311"/>
      <c r="H16" s="311"/>
      <c r="I16" s="311"/>
      <c r="J16" s="311"/>
      <c r="K16" s="311"/>
      <c r="L16" s="311"/>
      <c r="M16" s="311"/>
      <c r="N16" s="311"/>
      <c r="O16" s="311"/>
      <c r="P16" s="311"/>
      <c r="Q16" s="311"/>
      <c r="R16" s="311"/>
      <c r="S16" s="311"/>
      <c r="T16" s="108"/>
      <c r="U16" s="108"/>
      <c r="V16" s="108"/>
      <c r="W16" s="108"/>
      <c r="X16" s="108"/>
      <c r="Y16" s="108"/>
    </row>
    <row r="17" spans="1:28" s="106" customFormat="1" ht="45.75" customHeight="1" x14ac:dyDescent="0.2">
      <c r="A17" s="312" t="s">
        <v>382</v>
      </c>
      <c r="B17" s="312"/>
      <c r="C17" s="312"/>
      <c r="D17" s="312"/>
      <c r="E17" s="312"/>
      <c r="F17" s="312"/>
      <c r="G17" s="312"/>
      <c r="H17" s="312"/>
      <c r="I17" s="312"/>
      <c r="J17" s="312"/>
      <c r="K17" s="312"/>
      <c r="L17" s="312"/>
      <c r="M17" s="312"/>
      <c r="N17" s="312"/>
      <c r="O17" s="312"/>
      <c r="P17" s="312"/>
      <c r="Q17" s="312"/>
      <c r="R17" s="312"/>
      <c r="S17" s="312"/>
      <c r="T17" s="111"/>
      <c r="U17" s="111"/>
      <c r="V17" s="111"/>
      <c r="W17" s="111"/>
      <c r="X17" s="111"/>
      <c r="Y17" s="111"/>
      <c r="Z17" s="111"/>
      <c r="AA17" s="111"/>
      <c r="AB17" s="111"/>
    </row>
    <row r="18" spans="1:28" s="106" customFormat="1" ht="15" customHeight="1" x14ac:dyDescent="0.2">
      <c r="A18" s="313"/>
      <c r="B18" s="313"/>
      <c r="C18" s="313"/>
      <c r="D18" s="313"/>
      <c r="E18" s="313"/>
      <c r="F18" s="313"/>
      <c r="G18" s="313"/>
      <c r="H18" s="313"/>
      <c r="I18" s="313"/>
      <c r="J18" s="313"/>
      <c r="K18" s="313"/>
      <c r="L18" s="313"/>
      <c r="M18" s="313"/>
      <c r="N18" s="313"/>
      <c r="O18" s="313"/>
      <c r="P18" s="313"/>
      <c r="Q18" s="313"/>
      <c r="R18" s="313"/>
      <c r="S18" s="313"/>
      <c r="T18" s="108"/>
      <c r="U18" s="108"/>
      <c r="V18" s="108"/>
      <c r="W18" s="108"/>
      <c r="X18" s="108"/>
      <c r="Y18" s="108"/>
    </row>
    <row r="19" spans="1:28" s="106" customFormat="1" ht="54" customHeight="1" x14ac:dyDescent="0.2">
      <c r="A19" s="305" t="s">
        <v>3</v>
      </c>
      <c r="B19" s="305" t="s">
        <v>94</v>
      </c>
      <c r="C19" s="307" t="s">
        <v>303</v>
      </c>
      <c r="D19" s="305" t="s">
        <v>302</v>
      </c>
      <c r="E19" s="305" t="s">
        <v>93</v>
      </c>
      <c r="F19" s="305" t="s">
        <v>92</v>
      </c>
      <c r="G19" s="305" t="s">
        <v>298</v>
      </c>
      <c r="H19" s="305" t="s">
        <v>91</v>
      </c>
      <c r="I19" s="305" t="s">
        <v>90</v>
      </c>
      <c r="J19" s="305" t="s">
        <v>89</v>
      </c>
      <c r="K19" s="305" t="s">
        <v>88</v>
      </c>
      <c r="L19" s="305" t="s">
        <v>87</v>
      </c>
      <c r="M19" s="305" t="s">
        <v>86</v>
      </c>
      <c r="N19" s="305" t="s">
        <v>85</v>
      </c>
      <c r="O19" s="305" t="s">
        <v>84</v>
      </c>
      <c r="P19" s="305" t="s">
        <v>83</v>
      </c>
      <c r="Q19" s="305" t="s">
        <v>301</v>
      </c>
      <c r="R19" s="305"/>
      <c r="S19" s="309" t="s">
        <v>376</v>
      </c>
      <c r="T19" s="108"/>
      <c r="U19" s="108"/>
      <c r="V19" s="108"/>
      <c r="W19" s="108"/>
      <c r="X19" s="108"/>
      <c r="Y19" s="108"/>
    </row>
    <row r="20" spans="1:28" s="106" customFormat="1" ht="180.75" customHeight="1" x14ac:dyDescent="0.2">
      <c r="A20" s="305"/>
      <c r="B20" s="305"/>
      <c r="C20" s="308"/>
      <c r="D20" s="305"/>
      <c r="E20" s="305"/>
      <c r="F20" s="305"/>
      <c r="G20" s="305"/>
      <c r="H20" s="305"/>
      <c r="I20" s="305"/>
      <c r="J20" s="305"/>
      <c r="K20" s="305"/>
      <c r="L20" s="305"/>
      <c r="M20" s="305"/>
      <c r="N20" s="305"/>
      <c r="O20" s="305"/>
      <c r="P20" s="305"/>
      <c r="Q20" s="112" t="s">
        <v>299</v>
      </c>
      <c r="R20" s="113" t="s">
        <v>300</v>
      </c>
      <c r="S20" s="309"/>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32.25" customHeight="1" x14ac:dyDescent="0.2">
      <c r="A22" s="112" t="s">
        <v>536</v>
      </c>
      <c r="B22" s="112" t="s">
        <v>536</v>
      </c>
      <c r="C22" s="112" t="s">
        <v>571</v>
      </c>
      <c r="D22" s="112" t="s">
        <v>536</v>
      </c>
      <c r="E22" s="112" t="s">
        <v>536</v>
      </c>
      <c r="F22" s="112" t="s">
        <v>536</v>
      </c>
      <c r="G22" s="112" t="s">
        <v>536</v>
      </c>
      <c r="H22" s="112" t="s">
        <v>536</v>
      </c>
      <c r="I22" s="112" t="s">
        <v>536</v>
      </c>
      <c r="J22" s="112" t="s">
        <v>536</v>
      </c>
      <c r="K22" s="112" t="s">
        <v>536</v>
      </c>
      <c r="L22" s="112" t="s">
        <v>536</v>
      </c>
      <c r="M22" s="112" t="s">
        <v>536</v>
      </c>
      <c r="N22" s="112" t="s">
        <v>536</v>
      </c>
      <c r="O22" s="112" t="s">
        <v>536</v>
      </c>
      <c r="P22" s="112" t="s">
        <v>536</v>
      </c>
      <c r="Q22" s="112" t="s">
        <v>536</v>
      </c>
      <c r="R22" s="112" t="s">
        <v>536</v>
      </c>
      <c r="S22" s="112" t="s">
        <v>536</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5"/>
  <sheetViews>
    <sheetView view="pageBreakPreview" topLeftCell="A22" zoomScale="80" zoomScaleNormal="60" zoomScaleSheetLayoutView="80" workbookViewId="0">
      <selection activeCell="N26" sqref="N26:O26"/>
    </sheetView>
  </sheetViews>
  <sheetFormatPr defaultColWidth="10.7109375" defaultRowHeight="15.75" x14ac:dyDescent="0.25"/>
  <cols>
    <col min="1" max="1" width="9.5703125" style="26" customWidth="1"/>
    <col min="2" max="3" width="15.7109375" style="26" customWidth="1"/>
    <col min="4" max="4" width="22" style="26" customWidth="1"/>
    <col min="5" max="5" width="37.85546875" style="26" customWidth="1"/>
    <col min="6" max="6" width="36.85546875" style="26" customWidth="1"/>
    <col min="7" max="7" width="13.5703125" style="26" customWidth="1"/>
    <col min="8" max="8" width="11.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297" t="str">
        <f>'1. паспорт местоположение'!A5:C5</f>
        <v>Год раскрытия информации: 2024 год</v>
      </c>
      <c r="B6" s="297"/>
      <c r="C6" s="297"/>
      <c r="D6" s="297"/>
      <c r="E6" s="297"/>
      <c r="F6" s="297"/>
      <c r="G6" s="297"/>
      <c r="H6" s="297"/>
      <c r="I6" s="297"/>
      <c r="J6" s="297"/>
      <c r="K6" s="297"/>
      <c r="L6" s="297"/>
      <c r="M6" s="297"/>
      <c r="N6" s="297"/>
      <c r="O6" s="297"/>
      <c r="P6" s="297"/>
      <c r="Q6" s="297"/>
      <c r="R6" s="297"/>
      <c r="S6" s="297"/>
      <c r="T6" s="297"/>
    </row>
    <row r="7" spans="1:20" s="14" customFormat="1" x14ac:dyDescent="0.2">
      <c r="A7" s="105"/>
    </row>
    <row r="8" spans="1:20" s="14" customFormat="1" ht="18.75" x14ac:dyDescent="0.2">
      <c r="A8" s="306" t="s">
        <v>7</v>
      </c>
      <c r="B8" s="306"/>
      <c r="C8" s="306"/>
      <c r="D8" s="306"/>
      <c r="E8" s="306"/>
      <c r="F8" s="306"/>
      <c r="G8" s="306"/>
      <c r="H8" s="306"/>
      <c r="I8" s="306"/>
      <c r="J8" s="306"/>
      <c r="K8" s="306"/>
      <c r="L8" s="306"/>
      <c r="M8" s="306"/>
      <c r="N8" s="306"/>
      <c r="O8" s="306"/>
      <c r="P8" s="306"/>
      <c r="Q8" s="306"/>
      <c r="R8" s="306"/>
      <c r="S8" s="306"/>
      <c r="T8" s="306"/>
    </row>
    <row r="9" spans="1:20" s="14" customFormat="1" ht="18.75" x14ac:dyDescent="0.2">
      <c r="A9" s="306"/>
      <c r="B9" s="306"/>
      <c r="C9" s="306"/>
      <c r="D9" s="306"/>
      <c r="E9" s="306"/>
      <c r="F9" s="306"/>
      <c r="G9" s="306"/>
      <c r="H9" s="306"/>
      <c r="I9" s="306"/>
      <c r="J9" s="306"/>
      <c r="K9" s="306"/>
      <c r="L9" s="306"/>
      <c r="M9" s="306"/>
      <c r="N9" s="306"/>
      <c r="O9" s="306"/>
      <c r="P9" s="306"/>
      <c r="Q9" s="306"/>
      <c r="R9" s="306"/>
      <c r="S9" s="306"/>
      <c r="T9" s="306"/>
    </row>
    <row r="10" spans="1:20" s="14" customFormat="1" ht="18.75" customHeight="1" x14ac:dyDescent="0.2">
      <c r="A10" s="304" t="str">
        <f>'1. паспорт местоположение'!A9:C9</f>
        <v xml:space="preserve">Акционерное общество "Западная энергетическая компания" </v>
      </c>
      <c r="B10" s="304"/>
      <c r="C10" s="304"/>
      <c r="D10" s="304"/>
      <c r="E10" s="304"/>
      <c r="F10" s="304"/>
      <c r="G10" s="304"/>
      <c r="H10" s="304"/>
      <c r="I10" s="304"/>
      <c r="J10" s="304"/>
      <c r="K10" s="304"/>
      <c r="L10" s="304"/>
      <c r="M10" s="304"/>
      <c r="N10" s="304"/>
      <c r="O10" s="304"/>
      <c r="P10" s="304"/>
      <c r="Q10" s="304"/>
      <c r="R10" s="304"/>
      <c r="S10" s="304"/>
      <c r="T10" s="304"/>
    </row>
    <row r="11" spans="1:20" s="14" customFormat="1" ht="18.75" customHeight="1" x14ac:dyDescent="0.2">
      <c r="A11" s="310" t="s">
        <v>6</v>
      </c>
      <c r="B11" s="310"/>
      <c r="C11" s="310"/>
      <c r="D11" s="310"/>
      <c r="E11" s="310"/>
      <c r="F11" s="310"/>
      <c r="G11" s="310"/>
      <c r="H11" s="310"/>
      <c r="I11" s="310"/>
      <c r="J11" s="310"/>
      <c r="K11" s="310"/>
      <c r="L11" s="310"/>
      <c r="M11" s="310"/>
      <c r="N11" s="310"/>
      <c r="O11" s="310"/>
      <c r="P11" s="310"/>
      <c r="Q11" s="310"/>
      <c r="R11" s="310"/>
      <c r="S11" s="310"/>
      <c r="T11" s="310"/>
    </row>
    <row r="12" spans="1:20" s="14" customFormat="1" ht="18.75" x14ac:dyDescent="0.2">
      <c r="A12" s="306"/>
      <c r="B12" s="306"/>
      <c r="C12" s="306"/>
      <c r="D12" s="306"/>
      <c r="E12" s="306"/>
      <c r="F12" s="306"/>
      <c r="G12" s="306"/>
      <c r="H12" s="306"/>
      <c r="I12" s="306"/>
      <c r="J12" s="306"/>
      <c r="K12" s="306"/>
      <c r="L12" s="306"/>
      <c r="M12" s="306"/>
      <c r="N12" s="306"/>
      <c r="O12" s="306"/>
      <c r="P12" s="306"/>
      <c r="Q12" s="306"/>
      <c r="R12" s="306"/>
      <c r="S12" s="306"/>
      <c r="T12" s="306"/>
    </row>
    <row r="13" spans="1:20" s="14" customFormat="1" ht="18.75" customHeight="1" x14ac:dyDescent="0.2">
      <c r="A13" s="304" t="str">
        <f>'1. паспорт местоположение'!A12:C12</f>
        <v>O 24-28</v>
      </c>
      <c r="B13" s="304"/>
      <c r="C13" s="304"/>
      <c r="D13" s="304"/>
      <c r="E13" s="304"/>
      <c r="F13" s="304"/>
      <c r="G13" s="304"/>
      <c r="H13" s="304"/>
      <c r="I13" s="304"/>
      <c r="J13" s="304"/>
      <c r="K13" s="304"/>
      <c r="L13" s="304"/>
      <c r="M13" s="304"/>
      <c r="N13" s="304"/>
      <c r="O13" s="304"/>
      <c r="P13" s="304"/>
      <c r="Q13" s="304"/>
      <c r="R13" s="304"/>
      <c r="S13" s="304"/>
      <c r="T13" s="304"/>
    </row>
    <row r="14" spans="1:20" s="14" customFormat="1" ht="18.75" customHeight="1" x14ac:dyDescent="0.2">
      <c r="A14" s="310" t="s">
        <v>5</v>
      </c>
      <c r="B14" s="310"/>
      <c r="C14" s="310"/>
      <c r="D14" s="310"/>
      <c r="E14" s="310"/>
      <c r="F14" s="310"/>
      <c r="G14" s="310"/>
      <c r="H14" s="310"/>
      <c r="I14" s="310"/>
      <c r="J14" s="310"/>
      <c r="K14" s="310"/>
      <c r="L14" s="310"/>
      <c r="M14" s="310"/>
      <c r="N14" s="310"/>
      <c r="O14" s="310"/>
      <c r="P14" s="310"/>
      <c r="Q14" s="310"/>
      <c r="R14" s="310"/>
      <c r="S14" s="310"/>
      <c r="T14" s="310"/>
    </row>
    <row r="15" spans="1:20" s="14" customFormat="1" ht="15.75" customHeight="1" x14ac:dyDescent="0.2">
      <c r="A15" s="311"/>
      <c r="B15" s="311"/>
      <c r="C15" s="311"/>
      <c r="D15" s="311"/>
      <c r="E15" s="311"/>
      <c r="F15" s="311"/>
      <c r="G15" s="311"/>
      <c r="H15" s="311"/>
      <c r="I15" s="311"/>
      <c r="J15" s="311"/>
      <c r="K15" s="311"/>
      <c r="L15" s="311"/>
      <c r="M15" s="311"/>
      <c r="N15" s="311"/>
      <c r="O15" s="311"/>
      <c r="P15" s="311"/>
      <c r="Q15" s="311"/>
      <c r="R15" s="311"/>
      <c r="S15" s="311"/>
      <c r="T15" s="311"/>
    </row>
    <row r="16" spans="1:20" s="106" customFormat="1" x14ac:dyDescent="0.2">
      <c r="A16" s="304"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6" s="304"/>
      <c r="C16" s="304"/>
      <c r="D16" s="304"/>
      <c r="E16" s="304"/>
      <c r="F16" s="304"/>
      <c r="G16" s="304"/>
      <c r="H16" s="304"/>
      <c r="I16" s="304"/>
      <c r="J16" s="304"/>
      <c r="K16" s="304"/>
      <c r="L16" s="304"/>
      <c r="M16" s="304"/>
      <c r="N16" s="304"/>
      <c r="O16" s="304"/>
      <c r="P16" s="304"/>
      <c r="Q16" s="304"/>
      <c r="R16" s="304"/>
      <c r="S16" s="304"/>
      <c r="T16" s="304"/>
    </row>
    <row r="17" spans="1:20" s="106" customFormat="1" ht="15" customHeight="1" x14ac:dyDescent="0.2">
      <c r="A17" s="310" t="s">
        <v>4</v>
      </c>
      <c r="B17" s="310"/>
      <c r="C17" s="310"/>
      <c r="D17" s="310"/>
      <c r="E17" s="310"/>
      <c r="F17" s="310"/>
      <c r="G17" s="310"/>
      <c r="H17" s="310"/>
      <c r="I17" s="310"/>
      <c r="J17" s="310"/>
      <c r="K17" s="310"/>
      <c r="L17" s="310"/>
      <c r="M17" s="310"/>
      <c r="N17" s="310"/>
      <c r="O17" s="310"/>
      <c r="P17" s="310"/>
      <c r="Q17" s="310"/>
      <c r="R17" s="310"/>
      <c r="S17" s="310"/>
      <c r="T17" s="310"/>
    </row>
    <row r="18" spans="1:20" s="106" customFormat="1" ht="15" customHeight="1" x14ac:dyDescent="0.2">
      <c r="A18" s="311"/>
      <c r="B18" s="311"/>
      <c r="C18" s="311"/>
      <c r="D18" s="311"/>
      <c r="E18" s="311"/>
      <c r="F18" s="311"/>
      <c r="G18" s="311"/>
      <c r="H18" s="311"/>
      <c r="I18" s="311"/>
      <c r="J18" s="311"/>
      <c r="K18" s="311"/>
      <c r="L18" s="311"/>
      <c r="M18" s="311"/>
      <c r="N18" s="311"/>
      <c r="O18" s="311"/>
      <c r="P18" s="311"/>
      <c r="Q18" s="311"/>
      <c r="R18" s="311"/>
      <c r="S18" s="311"/>
      <c r="T18" s="311"/>
    </row>
    <row r="19" spans="1:20" s="106" customFormat="1" ht="15" customHeight="1" x14ac:dyDescent="0.2">
      <c r="A19" s="328" t="s">
        <v>387</v>
      </c>
      <c r="B19" s="328"/>
      <c r="C19" s="328"/>
      <c r="D19" s="328"/>
      <c r="E19" s="328"/>
      <c r="F19" s="328"/>
      <c r="G19" s="328"/>
      <c r="H19" s="328"/>
      <c r="I19" s="328"/>
      <c r="J19" s="328"/>
      <c r="K19" s="328"/>
      <c r="L19" s="328"/>
      <c r="M19" s="328"/>
      <c r="N19" s="328"/>
      <c r="O19" s="328"/>
      <c r="P19" s="328"/>
      <c r="Q19" s="328"/>
      <c r="R19" s="328"/>
      <c r="S19" s="328"/>
      <c r="T19" s="328"/>
    </row>
    <row r="20" spans="1:20" s="27" customFormat="1" ht="21" customHeight="1" x14ac:dyDescent="0.25">
      <c r="A20" s="329"/>
      <c r="B20" s="329"/>
      <c r="C20" s="329"/>
      <c r="D20" s="329"/>
      <c r="E20" s="329"/>
      <c r="F20" s="329"/>
      <c r="G20" s="329"/>
      <c r="H20" s="329"/>
      <c r="I20" s="329"/>
      <c r="J20" s="329"/>
      <c r="K20" s="329"/>
      <c r="L20" s="329"/>
      <c r="M20" s="329"/>
      <c r="N20" s="329"/>
      <c r="O20" s="329"/>
      <c r="P20" s="329"/>
      <c r="Q20" s="329"/>
      <c r="R20" s="329"/>
      <c r="S20" s="329"/>
      <c r="T20" s="329"/>
    </row>
    <row r="21" spans="1:20" ht="46.5" customHeight="1" x14ac:dyDescent="0.25">
      <c r="A21" s="322" t="s">
        <v>3</v>
      </c>
      <c r="B21" s="315" t="s">
        <v>200</v>
      </c>
      <c r="C21" s="316"/>
      <c r="D21" s="319" t="s">
        <v>116</v>
      </c>
      <c r="E21" s="315" t="s">
        <v>414</v>
      </c>
      <c r="F21" s="316"/>
      <c r="G21" s="315" t="s">
        <v>239</v>
      </c>
      <c r="H21" s="316"/>
      <c r="I21" s="315" t="s">
        <v>115</v>
      </c>
      <c r="J21" s="316"/>
      <c r="K21" s="319" t="s">
        <v>114</v>
      </c>
      <c r="L21" s="315" t="s">
        <v>113</v>
      </c>
      <c r="M21" s="316"/>
      <c r="N21" s="315" t="s">
        <v>440</v>
      </c>
      <c r="O21" s="316"/>
      <c r="P21" s="319" t="s">
        <v>112</v>
      </c>
      <c r="Q21" s="325" t="s">
        <v>111</v>
      </c>
      <c r="R21" s="326"/>
      <c r="S21" s="325" t="s">
        <v>110</v>
      </c>
      <c r="T21" s="327"/>
    </row>
    <row r="22" spans="1:20" ht="204.75" customHeight="1" x14ac:dyDescent="0.25">
      <c r="A22" s="323"/>
      <c r="B22" s="317"/>
      <c r="C22" s="318"/>
      <c r="D22" s="321"/>
      <c r="E22" s="317"/>
      <c r="F22" s="318"/>
      <c r="G22" s="317"/>
      <c r="H22" s="318"/>
      <c r="I22" s="317"/>
      <c r="J22" s="318"/>
      <c r="K22" s="320"/>
      <c r="L22" s="317"/>
      <c r="M22" s="318"/>
      <c r="N22" s="317"/>
      <c r="O22" s="318"/>
      <c r="P22" s="320"/>
      <c r="Q22" s="54" t="s">
        <v>109</v>
      </c>
      <c r="R22" s="54" t="s">
        <v>386</v>
      </c>
      <c r="S22" s="54" t="s">
        <v>108</v>
      </c>
      <c r="T22" s="54" t="s">
        <v>107</v>
      </c>
    </row>
    <row r="23" spans="1:20" ht="51.75" customHeight="1" x14ac:dyDescent="0.25">
      <c r="A23" s="324"/>
      <c r="B23" s="54" t="s">
        <v>105</v>
      </c>
      <c r="C23" s="54" t="s">
        <v>106</v>
      </c>
      <c r="D23" s="320"/>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20"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20" s="27" customFormat="1" ht="90.75" customHeight="1" x14ac:dyDescent="0.25">
      <c r="A25" s="92">
        <v>1</v>
      </c>
      <c r="B25" s="92" t="s">
        <v>592</v>
      </c>
      <c r="C25" s="92" t="s">
        <v>591</v>
      </c>
      <c r="D25" s="92" t="s">
        <v>597</v>
      </c>
      <c r="E25" s="92" t="s">
        <v>600</v>
      </c>
      <c r="F25" s="92" t="s">
        <v>598</v>
      </c>
      <c r="G25" s="92" t="s">
        <v>564</v>
      </c>
      <c r="H25" s="92" t="s">
        <v>564</v>
      </c>
      <c r="I25" s="93" t="s">
        <v>559</v>
      </c>
      <c r="J25" s="93" t="s">
        <v>599</v>
      </c>
      <c r="K25" s="93" t="s">
        <v>565</v>
      </c>
      <c r="L25" s="93" t="s">
        <v>566</v>
      </c>
      <c r="M25" s="93" t="s">
        <v>566</v>
      </c>
      <c r="N25" s="92" t="s">
        <v>297</v>
      </c>
      <c r="O25" s="92" t="s">
        <v>297</v>
      </c>
      <c r="P25" s="93" t="s">
        <v>297</v>
      </c>
      <c r="Q25" s="93"/>
      <c r="R25" s="93"/>
      <c r="S25" s="93" t="s">
        <v>297</v>
      </c>
      <c r="T25" s="92" t="s">
        <v>297</v>
      </c>
    </row>
    <row r="26" spans="1:20" x14ac:dyDescent="0.25">
      <c r="A26" s="92">
        <v>2</v>
      </c>
      <c r="B26" s="92"/>
      <c r="C26" s="92"/>
      <c r="D26" s="188" t="s">
        <v>556</v>
      </c>
      <c r="E26" s="188" t="s">
        <v>557</v>
      </c>
      <c r="F26" s="188" t="s">
        <v>557</v>
      </c>
      <c r="G26" s="188" t="s">
        <v>556</v>
      </c>
      <c r="H26" s="188" t="s">
        <v>556</v>
      </c>
      <c r="I26" s="93" t="s">
        <v>558</v>
      </c>
      <c r="J26" s="188">
        <v>2025</v>
      </c>
      <c r="K26" s="93" t="s">
        <v>559</v>
      </c>
      <c r="L26" s="93" t="s">
        <v>560</v>
      </c>
      <c r="M26" s="93" t="s">
        <v>560</v>
      </c>
      <c r="N26" s="189"/>
      <c r="O26" s="189"/>
      <c r="P26" s="93" t="s">
        <v>297</v>
      </c>
      <c r="Q26" s="92"/>
      <c r="R26" s="92"/>
      <c r="S26" s="189" t="s">
        <v>297</v>
      </c>
      <c r="T26" s="189" t="s">
        <v>297</v>
      </c>
    </row>
    <row r="27" spans="1:20" x14ac:dyDescent="0.25">
      <c r="A27" s="92">
        <v>3</v>
      </c>
      <c r="B27" s="92"/>
      <c r="C27" s="92"/>
      <c r="D27" s="188"/>
      <c r="E27" s="188"/>
      <c r="F27" s="188"/>
      <c r="G27" s="188"/>
      <c r="H27" s="188"/>
      <c r="I27" s="93"/>
      <c r="J27" s="188"/>
      <c r="K27" s="93"/>
      <c r="L27" s="93"/>
      <c r="M27" s="93"/>
      <c r="N27" s="189"/>
      <c r="O27" s="189"/>
      <c r="P27" s="93"/>
      <c r="Q27" s="93"/>
      <c r="R27" s="93"/>
      <c r="S27" s="189" t="s">
        <v>297</v>
      </c>
      <c r="T27" s="189" t="s">
        <v>297</v>
      </c>
    </row>
    <row r="28" spans="1:20" x14ac:dyDescent="0.25">
      <c r="A28" s="92">
        <v>4</v>
      </c>
      <c r="B28" s="92"/>
      <c r="C28" s="92"/>
      <c r="D28" s="188"/>
      <c r="E28" s="188"/>
      <c r="F28" s="188"/>
      <c r="G28" s="188"/>
      <c r="H28" s="188"/>
      <c r="I28" s="93"/>
      <c r="J28" s="188"/>
      <c r="K28" s="93"/>
      <c r="L28" s="93"/>
      <c r="M28" s="93"/>
      <c r="N28" s="189"/>
      <c r="O28" s="189"/>
      <c r="P28" s="93"/>
      <c r="Q28" s="93"/>
      <c r="R28" s="93"/>
      <c r="S28" s="189" t="s">
        <v>297</v>
      </c>
      <c r="T28" s="189" t="s">
        <v>297</v>
      </c>
    </row>
    <row r="29" spans="1:20" x14ac:dyDescent="0.25">
      <c r="A29" s="30"/>
      <c r="B29" s="30"/>
      <c r="C29" s="30"/>
      <c r="D29" s="30"/>
      <c r="E29" s="30"/>
      <c r="F29" s="30"/>
      <c r="G29" s="30"/>
      <c r="H29" s="30"/>
      <c r="I29" s="30"/>
      <c r="J29" s="30"/>
      <c r="K29" s="30"/>
      <c r="L29" s="30"/>
      <c r="M29" s="30"/>
      <c r="N29" s="30"/>
      <c r="O29" s="30"/>
      <c r="P29" s="30"/>
      <c r="Q29" s="30"/>
      <c r="R29" s="30"/>
      <c r="S29" s="30"/>
      <c r="T29" s="30"/>
    </row>
    <row r="30" spans="1:20" s="30" customFormat="1" ht="12.75" x14ac:dyDescent="0.2"/>
    <row r="31" spans="1:20" s="30" customFormat="1" x14ac:dyDescent="0.25">
      <c r="B31" s="26" t="s">
        <v>104</v>
      </c>
      <c r="C31" s="26"/>
      <c r="D31" s="26"/>
      <c r="E31" s="26"/>
      <c r="F31" s="26"/>
      <c r="G31" s="26"/>
      <c r="H31" s="26"/>
      <c r="I31" s="26"/>
      <c r="J31" s="26"/>
      <c r="K31" s="26"/>
      <c r="L31" s="26"/>
      <c r="M31" s="26"/>
      <c r="N31" s="26"/>
      <c r="O31" s="26"/>
      <c r="P31" s="26"/>
      <c r="Q31" s="26"/>
      <c r="R31" s="26"/>
    </row>
    <row r="32" spans="1:20" x14ac:dyDescent="0.25">
      <c r="B32" s="314" t="s">
        <v>420</v>
      </c>
      <c r="C32" s="314"/>
      <c r="D32" s="314"/>
      <c r="E32" s="314"/>
      <c r="F32" s="314"/>
      <c r="G32" s="314"/>
      <c r="H32" s="314"/>
      <c r="I32" s="314"/>
      <c r="J32" s="314"/>
      <c r="K32" s="314"/>
      <c r="L32" s="314"/>
      <c r="M32" s="314"/>
      <c r="N32" s="314"/>
      <c r="O32" s="314"/>
      <c r="P32" s="314"/>
      <c r="Q32" s="314"/>
      <c r="R32" s="314"/>
    </row>
    <row r="34" spans="2:113" x14ac:dyDescent="0.25">
      <c r="B34" s="28" t="s">
        <v>385</v>
      </c>
      <c r="C34" s="28"/>
      <c r="D34" s="28"/>
      <c r="E34" s="28"/>
      <c r="H34" s="28"/>
      <c r="I34" s="28"/>
      <c r="J34" s="28"/>
      <c r="K34" s="28"/>
      <c r="L34" s="28"/>
      <c r="M34" s="28"/>
      <c r="N34" s="28"/>
      <c r="O34" s="28"/>
      <c r="P34" s="28"/>
      <c r="Q34" s="28"/>
      <c r="R34" s="28"/>
      <c r="S34" s="29"/>
      <c r="T34" s="29"/>
      <c r="U34" s="29"/>
      <c r="V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row>
    <row r="35" spans="2:113" x14ac:dyDescent="0.25">
      <c r="B35" s="28" t="s">
        <v>103</v>
      </c>
      <c r="C35" s="28"/>
      <c r="D35" s="28"/>
      <c r="E35" s="28"/>
      <c r="H35" s="28"/>
      <c r="I35" s="28"/>
      <c r="J35" s="28"/>
      <c r="K35" s="28"/>
      <c r="L35" s="28"/>
      <c r="M35" s="28"/>
      <c r="N35" s="28"/>
      <c r="O35" s="28"/>
      <c r="P35" s="28"/>
      <c r="Q35" s="28"/>
      <c r="R35" s="28"/>
    </row>
    <row r="36" spans="2:113" x14ac:dyDescent="0.25">
      <c r="B36" s="28" t="s">
        <v>102</v>
      </c>
      <c r="C36" s="28"/>
      <c r="D36" s="28"/>
      <c r="E36" s="28"/>
      <c r="H36" s="28"/>
      <c r="I36" s="28"/>
      <c r="J36" s="28"/>
      <c r="K36" s="28"/>
      <c r="L36" s="28"/>
      <c r="M36" s="28"/>
      <c r="N36" s="28"/>
      <c r="O36" s="28"/>
      <c r="P36" s="28"/>
      <c r="Q36" s="28"/>
      <c r="R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101</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100</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99</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98</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B41" s="28" t="s">
        <v>97</v>
      </c>
      <c r="C41" s="28"/>
      <c r="D41" s="28"/>
      <c r="E41" s="28"/>
      <c r="H41" s="28"/>
      <c r="I41" s="28"/>
      <c r="J41" s="28"/>
      <c r="K41" s="28"/>
      <c r="L41" s="28"/>
      <c r="M41" s="28"/>
      <c r="N41" s="28"/>
      <c r="O41" s="28"/>
      <c r="P41" s="28"/>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B42" s="28" t="s">
        <v>96</v>
      </c>
      <c r="C42" s="28"/>
      <c r="D42" s="28"/>
      <c r="E42" s="28"/>
      <c r="H42" s="28"/>
      <c r="I42" s="28"/>
      <c r="J42" s="28"/>
      <c r="K42" s="28"/>
      <c r="L42" s="28"/>
      <c r="M42" s="28"/>
      <c r="N42" s="28"/>
      <c r="O42" s="28"/>
      <c r="P42" s="28"/>
      <c r="Q42" s="28"/>
      <c r="R42" s="28"/>
      <c r="S42" s="28"/>
      <c r="T42" s="28"/>
      <c r="U42" s="28"/>
      <c r="V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row r="43" spans="2:113" x14ac:dyDescent="0.25">
      <c r="B43" s="28" t="s">
        <v>95</v>
      </c>
      <c r="C43" s="28"/>
      <c r="D43" s="28"/>
      <c r="E43" s="28"/>
      <c r="H43" s="28"/>
      <c r="I43" s="28"/>
      <c r="J43" s="28"/>
      <c r="K43" s="28"/>
      <c r="L43" s="28"/>
      <c r="M43" s="28"/>
      <c r="N43" s="28"/>
      <c r="O43" s="28"/>
      <c r="P43" s="28"/>
      <c r="Q43" s="28"/>
      <c r="R43" s="28"/>
      <c r="S43" s="28"/>
      <c r="T43" s="28"/>
      <c r="U43" s="28"/>
      <c r="V43" s="28"/>
      <c r="AN43" s="28"/>
      <c r="AO43" s="28"/>
      <c r="AP43" s="28"/>
      <c r="AQ43" s="28"/>
      <c r="AR43" s="28"/>
      <c r="AS43" s="28"/>
      <c r="AT43" s="28"/>
      <c r="AU43" s="28"/>
      <c r="AV43" s="28"/>
      <c r="AW43" s="28"/>
      <c r="AX43" s="28"/>
      <c r="AY43" s="28"/>
      <c r="AZ43" s="28"/>
      <c r="BA43" s="28"/>
      <c r="BB43" s="28"/>
      <c r="BC43" s="28"/>
      <c r="BD43" s="28"/>
      <c r="BE43" s="28"/>
      <c r="BF43" s="28"/>
      <c r="BG43" s="28"/>
      <c r="BH43" s="28"/>
      <c r="BI43" s="28"/>
      <c r="BJ43" s="28"/>
      <c r="BK43" s="27"/>
      <c r="BL43" s="27"/>
      <c r="BM43" s="27"/>
      <c r="BN43" s="27"/>
      <c r="BO43" s="27"/>
      <c r="BP43" s="27"/>
      <c r="BQ43" s="27"/>
      <c r="BR43" s="27"/>
      <c r="BS43" s="27"/>
      <c r="BT43" s="27"/>
      <c r="BU43" s="27"/>
      <c r="BV43" s="27"/>
      <c r="BW43" s="27"/>
      <c r="BX43" s="27"/>
      <c r="BY43" s="27"/>
      <c r="BZ43" s="27"/>
      <c r="CA43" s="27"/>
      <c r="CB43" s="27"/>
      <c r="CC43" s="27"/>
      <c r="CD43" s="27"/>
      <c r="CE43" s="27"/>
      <c r="CF43" s="27"/>
      <c r="CG43" s="27"/>
      <c r="CH43" s="27"/>
      <c r="CI43" s="27"/>
      <c r="CJ43" s="27"/>
      <c r="CK43" s="27"/>
      <c r="CL43" s="27"/>
      <c r="CM43" s="27"/>
      <c r="CN43" s="27"/>
      <c r="CO43" s="27"/>
      <c r="CP43" s="27"/>
      <c r="CQ43" s="27"/>
      <c r="CR43" s="27"/>
      <c r="CS43" s="27"/>
      <c r="CT43" s="27"/>
      <c r="CU43" s="27"/>
      <c r="CV43" s="27"/>
      <c r="CW43" s="27"/>
      <c r="CX43" s="27"/>
      <c r="CY43" s="27"/>
      <c r="CZ43" s="27"/>
      <c r="DA43" s="27"/>
      <c r="DB43" s="27"/>
      <c r="DC43" s="27"/>
      <c r="DD43" s="27"/>
      <c r="DE43" s="27"/>
      <c r="DF43" s="27"/>
      <c r="DG43" s="27"/>
      <c r="DH43" s="27"/>
      <c r="DI43" s="27"/>
    </row>
    <row r="44" spans="2:113" x14ac:dyDescent="0.25">
      <c r="Q44" s="28"/>
      <c r="R44" s="28"/>
      <c r="S44" s="28"/>
      <c r="T44" s="28"/>
      <c r="U44" s="28"/>
      <c r="V44" s="28"/>
      <c r="AN44" s="28"/>
      <c r="AO44" s="28"/>
      <c r="AP44" s="28"/>
      <c r="AQ44" s="28"/>
      <c r="AR44" s="28"/>
      <c r="AS44" s="28"/>
      <c r="AT44" s="28"/>
      <c r="AU44" s="28"/>
      <c r="AV44" s="28"/>
      <c r="AW44" s="28"/>
      <c r="AX44" s="28"/>
      <c r="AY44" s="28"/>
      <c r="AZ44" s="28"/>
      <c r="BA44" s="28"/>
      <c r="BB44" s="28"/>
      <c r="BC44" s="28"/>
      <c r="BD44" s="28"/>
      <c r="BE44" s="28"/>
      <c r="BF44" s="28"/>
      <c r="BG44" s="28"/>
      <c r="BH44" s="28"/>
      <c r="BI44" s="28"/>
      <c r="BJ44" s="28"/>
      <c r="BK44" s="27"/>
      <c r="BL44" s="27"/>
      <c r="BM44" s="27"/>
      <c r="BN44" s="27"/>
      <c r="BO44" s="27"/>
      <c r="BP44" s="27"/>
      <c r="BQ44" s="27"/>
      <c r="BR44" s="27"/>
      <c r="BS44" s="27"/>
      <c r="BT44" s="27"/>
      <c r="BU44" s="27"/>
      <c r="BV44" s="27"/>
      <c r="BW44" s="27"/>
      <c r="BX44" s="27"/>
      <c r="BY44" s="27"/>
      <c r="BZ44" s="27"/>
      <c r="CA44" s="27"/>
      <c r="CB44" s="27"/>
      <c r="CC44" s="27"/>
      <c r="CD44" s="27"/>
      <c r="CE44" s="27"/>
      <c r="CF44" s="27"/>
      <c r="CG44" s="27"/>
      <c r="CH44" s="27"/>
      <c r="CI44" s="27"/>
      <c r="CJ44" s="27"/>
      <c r="CK44" s="27"/>
      <c r="CL44" s="27"/>
      <c r="CM44" s="27"/>
      <c r="CN44" s="27"/>
      <c r="CO44" s="27"/>
      <c r="CP44" s="27"/>
      <c r="CQ44" s="27"/>
      <c r="CR44" s="27"/>
      <c r="CS44" s="27"/>
      <c r="CT44" s="27"/>
      <c r="CU44" s="27"/>
      <c r="CV44" s="27"/>
      <c r="CW44" s="27"/>
      <c r="CX44" s="27"/>
      <c r="CY44" s="27"/>
      <c r="CZ44" s="27"/>
      <c r="DA44" s="27"/>
      <c r="DB44" s="27"/>
      <c r="DC44" s="27"/>
      <c r="DD44" s="27"/>
      <c r="DE44" s="27"/>
      <c r="DF44" s="27"/>
      <c r="DG44" s="27"/>
      <c r="DH44" s="27"/>
      <c r="DI44" s="27"/>
    </row>
    <row r="45" spans="2:113" x14ac:dyDescent="0.25">
      <c r="Q45" s="28"/>
      <c r="R45" s="28"/>
      <c r="S45" s="28"/>
      <c r="T45" s="28"/>
      <c r="U45" s="28"/>
      <c r="V45" s="28"/>
      <c r="W45" s="28"/>
      <c r="X45" s="28"/>
      <c r="Y45" s="28"/>
      <c r="Z45" s="28"/>
      <c r="AA45" s="28"/>
      <c r="AB45" s="28"/>
      <c r="AC45" s="28"/>
      <c r="AD45" s="28"/>
      <c r="AE45" s="28"/>
      <c r="AF45" s="28"/>
      <c r="AG45" s="28"/>
      <c r="AH45" s="28"/>
      <c r="AI45" s="28"/>
      <c r="AJ45" s="28"/>
      <c r="AK45" s="28"/>
      <c r="AL45" s="28"/>
      <c r="AM45" s="28"/>
      <c r="AN45" s="28"/>
      <c r="AO45" s="28"/>
      <c r="AP45" s="28"/>
      <c r="AQ45" s="28"/>
      <c r="AR45" s="28"/>
      <c r="AS45" s="28"/>
      <c r="AT45" s="28"/>
      <c r="AU45" s="28"/>
      <c r="AV45" s="28"/>
      <c r="AW45" s="28"/>
      <c r="AX45" s="28"/>
      <c r="AY45" s="28"/>
      <c r="AZ45" s="28"/>
      <c r="BA45" s="28"/>
      <c r="BB45" s="28"/>
      <c r="BC45" s="28"/>
      <c r="BD45" s="28"/>
      <c r="BE45" s="28"/>
      <c r="BF45" s="28"/>
      <c r="BG45" s="28"/>
      <c r="BH45" s="28"/>
      <c r="BI45" s="28"/>
      <c r="BJ45" s="28"/>
      <c r="BK45" s="27"/>
      <c r="BL45" s="27"/>
      <c r="BM45" s="27"/>
      <c r="BN45" s="27"/>
      <c r="BO45" s="27"/>
      <c r="BP45" s="27"/>
      <c r="BQ45" s="27"/>
      <c r="BR45" s="27"/>
      <c r="BS45" s="27"/>
      <c r="BT45" s="27"/>
      <c r="BU45" s="27"/>
      <c r="BV45" s="27"/>
      <c r="BW45" s="27"/>
      <c r="BX45" s="27"/>
      <c r="BY45" s="27"/>
      <c r="BZ45" s="27"/>
      <c r="CA45" s="27"/>
      <c r="CB45" s="27"/>
      <c r="CC45" s="27"/>
      <c r="CD45" s="27"/>
      <c r="CE45" s="27"/>
      <c r="CF45" s="27"/>
      <c r="CG45" s="27"/>
      <c r="CH45" s="27"/>
      <c r="CI45" s="27"/>
      <c r="CJ45" s="27"/>
      <c r="CK45" s="27"/>
      <c r="CL45" s="27"/>
      <c r="CM45" s="27"/>
      <c r="CN45" s="27"/>
      <c r="CO45" s="27"/>
      <c r="CP45" s="27"/>
      <c r="CQ45" s="27"/>
      <c r="CR45" s="27"/>
      <c r="CS45" s="27"/>
      <c r="CT45" s="27"/>
      <c r="CU45" s="27"/>
      <c r="CV45" s="27"/>
      <c r="CW45" s="27"/>
      <c r="CX45" s="27"/>
      <c r="CY45" s="27"/>
      <c r="CZ45" s="27"/>
      <c r="DA45" s="27"/>
      <c r="DB45" s="27"/>
      <c r="DC45" s="27"/>
      <c r="DD45" s="27"/>
      <c r="DE45" s="27"/>
      <c r="DF45" s="27"/>
      <c r="DG45" s="27"/>
      <c r="DH45" s="27"/>
      <c r="DI45"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32:R3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5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0"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297"/>
      <c r="Q5" s="297"/>
      <c r="R5" s="297"/>
      <c r="S5" s="297"/>
      <c r="T5" s="297"/>
      <c r="U5" s="297"/>
      <c r="V5" s="297"/>
      <c r="W5" s="297"/>
      <c r="X5" s="297"/>
      <c r="Y5" s="297"/>
      <c r="Z5" s="297"/>
      <c r="AA5" s="297"/>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06" t="s">
        <v>7</v>
      </c>
      <c r="F7" s="306"/>
      <c r="G7" s="306"/>
      <c r="H7" s="306"/>
      <c r="I7" s="306"/>
      <c r="J7" s="306"/>
      <c r="K7" s="306"/>
      <c r="L7" s="306"/>
      <c r="M7" s="306"/>
      <c r="N7" s="306"/>
      <c r="O7" s="306"/>
      <c r="P7" s="306"/>
      <c r="Q7" s="306"/>
      <c r="R7" s="306"/>
      <c r="S7" s="306"/>
      <c r="T7" s="306"/>
      <c r="U7" s="306"/>
      <c r="V7" s="306"/>
      <c r="W7" s="306"/>
      <c r="X7" s="306"/>
      <c r="Y7" s="306"/>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04" t="str">
        <f>'1. паспорт местоположение'!A9</f>
        <v xml:space="preserve">Акционерное общество "Западная энергетическая компания" </v>
      </c>
      <c r="F9" s="304"/>
      <c r="G9" s="304"/>
      <c r="H9" s="304"/>
      <c r="I9" s="304"/>
      <c r="J9" s="304"/>
      <c r="K9" s="304"/>
      <c r="L9" s="304"/>
      <c r="M9" s="304"/>
      <c r="N9" s="304"/>
      <c r="O9" s="304"/>
      <c r="P9" s="304"/>
      <c r="Q9" s="304"/>
      <c r="R9" s="304"/>
      <c r="S9" s="304"/>
      <c r="T9" s="304"/>
      <c r="U9" s="304"/>
      <c r="V9" s="304"/>
      <c r="W9" s="304"/>
      <c r="X9" s="304"/>
      <c r="Y9" s="304"/>
    </row>
    <row r="10" spans="1:27" s="14" customFormat="1" ht="18.75" customHeight="1" x14ac:dyDescent="0.2">
      <c r="E10" s="310" t="s">
        <v>6</v>
      </c>
      <c r="F10" s="310"/>
      <c r="G10" s="310"/>
      <c r="H10" s="310"/>
      <c r="I10" s="310"/>
      <c r="J10" s="310"/>
      <c r="K10" s="310"/>
      <c r="L10" s="310"/>
      <c r="M10" s="310"/>
      <c r="N10" s="310"/>
      <c r="O10" s="310"/>
      <c r="P10" s="310"/>
      <c r="Q10" s="310"/>
      <c r="R10" s="310"/>
      <c r="S10" s="310"/>
      <c r="T10" s="310"/>
      <c r="U10" s="310"/>
      <c r="V10" s="310"/>
      <c r="W10" s="310"/>
      <c r="X10" s="310"/>
      <c r="Y10" s="310"/>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04" t="str">
        <f>'1. паспорт местоположение'!A12</f>
        <v>O 24-28</v>
      </c>
      <c r="F12" s="304"/>
      <c r="G12" s="304"/>
      <c r="H12" s="304"/>
      <c r="I12" s="304"/>
      <c r="J12" s="304"/>
      <c r="K12" s="304"/>
      <c r="L12" s="304"/>
      <c r="M12" s="304"/>
      <c r="N12" s="304"/>
      <c r="O12" s="304"/>
      <c r="P12" s="304"/>
      <c r="Q12" s="304"/>
      <c r="R12" s="304"/>
      <c r="S12" s="304"/>
      <c r="T12" s="304"/>
      <c r="U12" s="304"/>
      <c r="V12" s="304"/>
      <c r="W12" s="304"/>
      <c r="X12" s="304"/>
      <c r="Y12" s="304"/>
    </row>
    <row r="13" spans="1:27" s="14" customFormat="1" ht="18.75" customHeight="1" x14ac:dyDescent="0.2">
      <c r="E13" s="310" t="s">
        <v>5</v>
      </c>
      <c r="F13" s="310"/>
      <c r="G13" s="310"/>
      <c r="H13" s="310"/>
      <c r="I13" s="310"/>
      <c r="J13" s="310"/>
      <c r="K13" s="310"/>
      <c r="L13" s="310"/>
      <c r="M13" s="310"/>
      <c r="N13" s="310"/>
      <c r="O13" s="310"/>
      <c r="P13" s="310"/>
      <c r="Q13" s="310"/>
      <c r="R13" s="310"/>
      <c r="S13" s="310"/>
      <c r="T13" s="310"/>
      <c r="U13" s="310"/>
      <c r="V13" s="310"/>
      <c r="W13" s="310"/>
      <c r="X13" s="310"/>
      <c r="Y13" s="310"/>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04" t="str">
        <f>'1. паспорт местоположение'!A15</f>
        <v>Строительство нового РП на 7 выключателей  15 кВ с РЗА и ПА на микропроцессорной базе (замена СП-2 15 кВ)  в г. Пионерский Калининградской области</v>
      </c>
      <c r="F15" s="304"/>
      <c r="G15" s="304"/>
      <c r="H15" s="304"/>
      <c r="I15" s="304"/>
      <c r="J15" s="304"/>
      <c r="K15" s="304"/>
      <c r="L15" s="304"/>
      <c r="M15" s="304"/>
      <c r="N15" s="304"/>
      <c r="O15" s="304"/>
      <c r="P15" s="304"/>
      <c r="Q15" s="304"/>
      <c r="R15" s="304"/>
      <c r="S15" s="304"/>
      <c r="T15" s="304"/>
      <c r="U15" s="304"/>
      <c r="V15" s="304"/>
      <c r="W15" s="304"/>
      <c r="X15" s="304"/>
      <c r="Y15" s="304"/>
    </row>
    <row r="16" spans="1:27" s="106" customFormat="1" ht="15" customHeight="1" x14ac:dyDescent="0.2">
      <c r="E16" s="310" t="s">
        <v>4</v>
      </c>
      <c r="F16" s="310"/>
      <c r="G16" s="310"/>
      <c r="H16" s="310"/>
      <c r="I16" s="310"/>
      <c r="J16" s="310"/>
      <c r="K16" s="310"/>
      <c r="L16" s="310"/>
      <c r="M16" s="310"/>
      <c r="N16" s="310"/>
      <c r="O16" s="310"/>
      <c r="P16" s="310"/>
      <c r="Q16" s="310"/>
      <c r="R16" s="310"/>
      <c r="S16" s="310"/>
      <c r="T16" s="310"/>
      <c r="U16" s="310"/>
      <c r="V16" s="310"/>
      <c r="W16" s="310"/>
      <c r="X16" s="310"/>
      <c r="Y16" s="310"/>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28"/>
      <c r="F18" s="328"/>
      <c r="G18" s="328"/>
      <c r="H18" s="328"/>
      <c r="I18" s="328"/>
      <c r="J18" s="328"/>
      <c r="K18" s="328"/>
      <c r="L18" s="328"/>
      <c r="M18" s="328"/>
      <c r="N18" s="328"/>
      <c r="O18" s="328"/>
      <c r="P18" s="328"/>
      <c r="Q18" s="328"/>
      <c r="R18" s="328"/>
      <c r="S18" s="328"/>
      <c r="T18" s="328"/>
      <c r="U18" s="328"/>
      <c r="V18" s="328"/>
      <c r="W18" s="328"/>
      <c r="X18" s="328"/>
      <c r="Y18" s="328"/>
    </row>
    <row r="19" spans="1:27" ht="25.5" customHeight="1" x14ac:dyDescent="0.25">
      <c r="A19" s="328" t="s">
        <v>389</v>
      </c>
      <c r="B19" s="328"/>
      <c r="C19" s="328"/>
      <c r="D19" s="328"/>
      <c r="E19" s="328"/>
      <c r="F19" s="328"/>
      <c r="G19" s="328"/>
      <c r="H19" s="328"/>
      <c r="I19" s="328"/>
      <c r="J19" s="328"/>
      <c r="K19" s="328"/>
      <c r="L19" s="328"/>
      <c r="M19" s="328"/>
      <c r="N19" s="328"/>
      <c r="O19" s="328"/>
      <c r="P19" s="328"/>
      <c r="Q19" s="328"/>
      <c r="R19" s="328"/>
      <c r="S19" s="328"/>
      <c r="T19" s="328"/>
      <c r="U19" s="328"/>
      <c r="V19" s="328"/>
      <c r="W19" s="328"/>
      <c r="X19" s="328"/>
      <c r="Y19" s="328"/>
      <c r="Z19" s="328"/>
      <c r="AA19" s="328"/>
    </row>
    <row r="20" spans="1:27" s="27" customFormat="1" ht="21" customHeight="1" x14ac:dyDescent="0.25"/>
    <row r="21" spans="1:27" ht="15.75" customHeight="1" x14ac:dyDescent="0.25">
      <c r="A21" s="319" t="s">
        <v>3</v>
      </c>
      <c r="B21" s="315" t="s">
        <v>396</v>
      </c>
      <c r="C21" s="316"/>
      <c r="D21" s="315" t="s">
        <v>398</v>
      </c>
      <c r="E21" s="316"/>
      <c r="F21" s="325" t="s">
        <v>88</v>
      </c>
      <c r="G21" s="327"/>
      <c r="H21" s="327"/>
      <c r="I21" s="326"/>
      <c r="J21" s="319" t="s">
        <v>399</v>
      </c>
      <c r="K21" s="315" t="s">
        <v>400</v>
      </c>
      <c r="L21" s="316"/>
      <c r="M21" s="315" t="s">
        <v>401</v>
      </c>
      <c r="N21" s="316"/>
      <c r="O21" s="315" t="s">
        <v>388</v>
      </c>
      <c r="P21" s="316"/>
      <c r="Q21" s="315" t="s">
        <v>121</v>
      </c>
      <c r="R21" s="316"/>
      <c r="S21" s="319" t="s">
        <v>120</v>
      </c>
      <c r="T21" s="319" t="s">
        <v>402</v>
      </c>
      <c r="U21" s="319" t="s">
        <v>397</v>
      </c>
      <c r="V21" s="315" t="s">
        <v>119</v>
      </c>
      <c r="W21" s="316"/>
      <c r="X21" s="325" t="s">
        <v>111</v>
      </c>
      <c r="Y21" s="327"/>
      <c r="Z21" s="325" t="s">
        <v>110</v>
      </c>
      <c r="AA21" s="327"/>
    </row>
    <row r="22" spans="1:27" ht="216" customHeight="1" x14ac:dyDescent="0.25">
      <c r="A22" s="321"/>
      <c r="B22" s="317"/>
      <c r="C22" s="318"/>
      <c r="D22" s="317"/>
      <c r="E22" s="318"/>
      <c r="F22" s="325" t="s">
        <v>118</v>
      </c>
      <c r="G22" s="326"/>
      <c r="H22" s="325" t="s">
        <v>117</v>
      </c>
      <c r="I22" s="326"/>
      <c r="J22" s="320"/>
      <c r="K22" s="317"/>
      <c r="L22" s="318"/>
      <c r="M22" s="317"/>
      <c r="N22" s="318"/>
      <c r="O22" s="317"/>
      <c r="P22" s="318"/>
      <c r="Q22" s="317"/>
      <c r="R22" s="318"/>
      <c r="S22" s="320"/>
      <c r="T22" s="320"/>
      <c r="U22" s="320"/>
      <c r="V22" s="317"/>
      <c r="W22" s="318"/>
      <c r="X22" s="54" t="s">
        <v>109</v>
      </c>
      <c r="Y22" s="54" t="s">
        <v>386</v>
      </c>
      <c r="Z22" s="54" t="s">
        <v>108</v>
      </c>
      <c r="AA22" s="54" t="s">
        <v>107</v>
      </c>
    </row>
    <row r="23" spans="1:27" ht="60" customHeight="1" x14ac:dyDescent="0.25">
      <c r="A23" s="320"/>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2"/>
      <c r="B25" s="94"/>
      <c r="C25" s="92"/>
      <c r="D25" s="92"/>
      <c r="E25" s="92"/>
      <c r="F25" s="92"/>
      <c r="G25" s="92"/>
      <c r="H25" s="92"/>
      <c r="I25" s="92"/>
      <c r="J25" s="92"/>
      <c r="K25" s="92"/>
      <c r="L25" s="92"/>
      <c r="M25" s="92"/>
      <c r="N25" s="92"/>
      <c r="O25" s="92"/>
      <c r="P25" s="92"/>
      <c r="Q25" s="92"/>
      <c r="R25" s="92"/>
      <c r="S25" s="92"/>
      <c r="T25" s="92"/>
      <c r="U25" s="92"/>
      <c r="V25" s="92"/>
      <c r="W25" s="92"/>
      <c r="X25" s="92"/>
      <c r="Y25" s="92"/>
      <c r="Z25" s="92"/>
      <c r="AA25" s="92"/>
    </row>
    <row r="26" spans="1:27" s="27" customFormat="1" x14ac:dyDescent="0.25">
      <c r="A26" s="92"/>
      <c r="B26" s="92"/>
      <c r="C26" s="92"/>
      <c r="D26" s="92"/>
      <c r="E26" s="92"/>
      <c r="F26" s="92"/>
      <c r="G26" s="92"/>
      <c r="H26" s="92"/>
      <c r="I26" s="92"/>
      <c r="J26" s="93"/>
      <c r="K26" s="93"/>
      <c r="L26" s="93"/>
      <c r="M26" s="92"/>
      <c r="N26" s="92"/>
      <c r="O26" s="92"/>
      <c r="P26" s="92"/>
      <c r="Q26" s="92"/>
      <c r="R26" s="92"/>
      <c r="S26" s="93"/>
      <c r="T26" s="93"/>
      <c r="U26" s="93"/>
      <c r="V26" s="92"/>
      <c r="W26" s="92"/>
      <c r="X26" s="92"/>
      <c r="Y26" s="92"/>
      <c r="Z26" s="92"/>
      <c r="AA26" s="92"/>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3" zoomScaleSheetLayoutView="100" workbookViewId="0">
      <selection activeCell="C24" sqref="C24"/>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297" t="str">
        <f>'1. паспорт местоположение'!A5:C5</f>
        <v>Год раскрытия информации: 2024 год</v>
      </c>
      <c r="B5" s="297"/>
      <c r="C5" s="297"/>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5"/>
      <c r="G6" s="12"/>
    </row>
    <row r="7" spans="1:29" s="14" customFormat="1" ht="18.75" x14ac:dyDescent="0.2">
      <c r="A7" s="306" t="s">
        <v>7</v>
      </c>
      <c r="B7" s="306"/>
      <c r="C7" s="306"/>
      <c r="D7" s="107"/>
      <c r="E7" s="107"/>
      <c r="F7" s="107"/>
      <c r="G7" s="107"/>
      <c r="H7" s="107"/>
      <c r="I7" s="107"/>
      <c r="J7" s="107"/>
      <c r="K7" s="107"/>
      <c r="L7" s="107"/>
      <c r="M7" s="107"/>
      <c r="N7" s="107"/>
      <c r="O7" s="107"/>
      <c r="P7" s="107"/>
      <c r="Q7" s="107"/>
      <c r="R7" s="107"/>
      <c r="S7" s="107"/>
      <c r="T7" s="107"/>
      <c r="U7" s="107"/>
    </row>
    <row r="8" spans="1:29" s="14" customFormat="1" ht="18.75" x14ac:dyDescent="0.2">
      <c r="A8" s="306"/>
      <c r="B8" s="306"/>
      <c r="C8" s="306"/>
      <c r="D8" s="118"/>
      <c r="E8" s="118"/>
      <c r="F8" s="118"/>
      <c r="G8" s="118"/>
      <c r="H8" s="107"/>
      <c r="I8" s="107"/>
      <c r="J8" s="107"/>
      <c r="K8" s="107"/>
      <c r="L8" s="107"/>
      <c r="M8" s="107"/>
      <c r="N8" s="107"/>
      <c r="O8" s="107"/>
      <c r="P8" s="107"/>
      <c r="Q8" s="107"/>
      <c r="R8" s="107"/>
      <c r="S8" s="107"/>
      <c r="T8" s="107"/>
      <c r="U8" s="107"/>
    </row>
    <row r="9" spans="1:29" s="14" customFormat="1" ht="18.75" x14ac:dyDescent="0.2">
      <c r="A9" s="304" t="str">
        <f>'1. паспорт местоположение'!A9:C9</f>
        <v xml:space="preserve">Акционерное общество "Западная энергетическая компания" </v>
      </c>
      <c r="B9" s="304"/>
      <c r="C9" s="304"/>
      <c r="D9" s="109"/>
      <c r="E9" s="109"/>
      <c r="F9" s="109"/>
      <c r="G9" s="109"/>
      <c r="H9" s="107"/>
      <c r="I9" s="107"/>
      <c r="J9" s="107"/>
      <c r="K9" s="107"/>
      <c r="L9" s="107"/>
      <c r="M9" s="107"/>
      <c r="N9" s="107"/>
      <c r="O9" s="107"/>
      <c r="P9" s="107"/>
      <c r="Q9" s="107"/>
      <c r="R9" s="107"/>
      <c r="S9" s="107"/>
      <c r="T9" s="107"/>
      <c r="U9" s="107"/>
    </row>
    <row r="10" spans="1:29" s="14" customFormat="1" ht="18.75" x14ac:dyDescent="0.2">
      <c r="A10" s="310" t="s">
        <v>6</v>
      </c>
      <c r="B10" s="310"/>
      <c r="C10" s="310"/>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06"/>
      <c r="B11" s="306"/>
      <c r="C11" s="306"/>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04" t="str">
        <f>'1. паспорт местоположение'!A12:C12</f>
        <v>O 24-28</v>
      </c>
      <c r="B12" s="304"/>
      <c r="C12" s="304"/>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10" t="s">
        <v>5</v>
      </c>
      <c r="B13" s="310"/>
      <c r="C13" s="310"/>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11"/>
      <c r="B14" s="311"/>
      <c r="C14" s="311"/>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30"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5" s="330"/>
      <c r="C15" s="330"/>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10" t="s">
        <v>4</v>
      </c>
      <c r="B16" s="310"/>
      <c r="C16" s="310"/>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11"/>
      <c r="B17" s="311"/>
      <c r="C17" s="311"/>
      <c r="D17" s="108"/>
      <c r="E17" s="108"/>
      <c r="F17" s="108"/>
      <c r="G17" s="108"/>
      <c r="H17" s="108"/>
      <c r="I17" s="108"/>
      <c r="J17" s="108"/>
      <c r="K17" s="108"/>
      <c r="L17" s="108"/>
      <c r="M17" s="108"/>
      <c r="N17" s="108"/>
      <c r="O17" s="108"/>
      <c r="P17" s="108"/>
      <c r="Q17" s="108"/>
      <c r="R17" s="108"/>
    </row>
    <row r="18" spans="1:21" s="106" customFormat="1" ht="27.75" customHeight="1" x14ac:dyDescent="0.2">
      <c r="A18" s="312" t="s">
        <v>381</v>
      </c>
      <c r="B18" s="312"/>
      <c r="C18" s="312"/>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116.25" customHeight="1" x14ac:dyDescent="0.2">
      <c r="A22" s="120" t="s">
        <v>62</v>
      </c>
      <c r="B22" s="17" t="s">
        <v>394</v>
      </c>
      <c r="C22" s="122" t="s">
        <v>602</v>
      </c>
      <c r="D22" s="110"/>
      <c r="E22" s="110"/>
      <c r="F22" s="108"/>
      <c r="G22" s="108"/>
      <c r="H22" s="108"/>
      <c r="I22" s="108"/>
      <c r="J22" s="108"/>
      <c r="K22" s="108"/>
      <c r="L22" s="108"/>
      <c r="M22" s="108"/>
      <c r="N22" s="108"/>
      <c r="O22" s="108"/>
      <c r="P22" s="108"/>
    </row>
    <row r="23" spans="1:21" ht="63" customHeight="1" x14ac:dyDescent="0.25">
      <c r="A23" s="120" t="s">
        <v>61</v>
      </c>
      <c r="B23" s="121" t="s">
        <v>58</v>
      </c>
      <c r="C23" s="122" t="s">
        <v>605</v>
      </c>
    </row>
    <row r="24" spans="1:21" ht="63" customHeight="1" x14ac:dyDescent="0.25">
      <c r="A24" s="120" t="s">
        <v>60</v>
      </c>
      <c r="B24" s="121" t="s">
        <v>573</v>
      </c>
      <c r="C24" s="122" t="s">
        <v>601</v>
      </c>
    </row>
    <row r="25" spans="1:21" ht="63" customHeight="1" x14ac:dyDescent="0.25">
      <c r="A25" s="120" t="s">
        <v>59</v>
      </c>
      <c r="B25" s="121" t="s">
        <v>413</v>
      </c>
      <c r="C25" s="122" t="s">
        <v>570</v>
      </c>
    </row>
    <row r="26" spans="1:21" ht="42.75" customHeight="1" x14ac:dyDescent="0.25">
      <c r="A26" s="120" t="s">
        <v>57</v>
      </c>
      <c r="B26" s="121" t="s">
        <v>208</v>
      </c>
      <c r="C26" s="119" t="s">
        <v>435</v>
      </c>
    </row>
    <row r="27" spans="1:21" ht="31.5" x14ac:dyDescent="0.25">
      <c r="A27" s="120" t="s">
        <v>56</v>
      </c>
      <c r="B27" s="121" t="s">
        <v>395</v>
      </c>
      <c r="C27" s="119" t="s">
        <v>567</v>
      </c>
    </row>
    <row r="28" spans="1:21" ht="42.75" customHeight="1" x14ac:dyDescent="0.25">
      <c r="A28" s="120" t="s">
        <v>54</v>
      </c>
      <c r="B28" s="121" t="s">
        <v>55</v>
      </c>
      <c r="C28" s="122">
        <v>2025</v>
      </c>
    </row>
    <row r="29" spans="1:21" ht="42.75" customHeight="1" x14ac:dyDescent="0.25">
      <c r="A29" s="120" t="s">
        <v>52</v>
      </c>
      <c r="B29" s="119" t="s">
        <v>53</v>
      </c>
      <c r="C29" s="122">
        <v>2026</v>
      </c>
    </row>
    <row r="30" spans="1:21" ht="42.75" customHeight="1" x14ac:dyDescent="0.25">
      <c r="A30" s="120" t="s">
        <v>70</v>
      </c>
      <c r="B30" s="119" t="s">
        <v>51</v>
      </c>
      <c r="C30" s="119" t="s">
        <v>593</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J16" zoomScale="90" zoomScaleNormal="80" zoomScaleSheetLayoutView="90" workbookViewId="0">
      <selection activeCell="O24" sqref="O24"/>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297" t="str">
        <f>'1. паспорт местоположение'!A5:C5</f>
        <v>Год раскрытия информации: 2024 год</v>
      </c>
      <c r="B4" s="297"/>
      <c r="C4" s="297"/>
      <c r="D4" s="297"/>
      <c r="E4" s="297"/>
      <c r="F4" s="297"/>
      <c r="G4" s="297"/>
      <c r="H4" s="297"/>
      <c r="I4" s="297"/>
      <c r="J4" s="297"/>
      <c r="K4" s="297"/>
      <c r="L4" s="297"/>
      <c r="M4" s="297"/>
      <c r="N4" s="297"/>
      <c r="O4" s="297"/>
      <c r="P4" s="297"/>
      <c r="Q4" s="297"/>
      <c r="R4" s="297"/>
      <c r="S4" s="297"/>
      <c r="T4" s="297"/>
      <c r="U4" s="297"/>
      <c r="V4" s="297"/>
      <c r="W4" s="297"/>
      <c r="X4" s="297"/>
      <c r="Y4" s="297"/>
      <c r="Z4" s="297"/>
    </row>
    <row r="6" spans="1:28" ht="18.75" x14ac:dyDescent="0.25">
      <c r="A6" s="306" t="s">
        <v>7</v>
      </c>
      <c r="B6" s="306"/>
      <c r="C6" s="306"/>
      <c r="D6" s="306"/>
      <c r="E6" s="306"/>
      <c r="F6" s="306"/>
      <c r="G6" s="306"/>
      <c r="H6" s="306"/>
      <c r="I6" s="306"/>
      <c r="J6" s="306"/>
      <c r="K6" s="306"/>
      <c r="L6" s="306"/>
      <c r="M6" s="306"/>
      <c r="N6" s="306"/>
      <c r="O6" s="306"/>
      <c r="P6" s="306"/>
      <c r="Q6" s="306"/>
      <c r="R6" s="306"/>
      <c r="S6" s="306"/>
      <c r="T6" s="306"/>
      <c r="U6" s="306"/>
      <c r="V6" s="306"/>
      <c r="W6" s="306"/>
      <c r="X6" s="306"/>
      <c r="Y6" s="306"/>
      <c r="Z6" s="306"/>
      <c r="AA6" s="107"/>
      <c r="AB6" s="107"/>
    </row>
    <row r="7" spans="1:28" ht="18.75" x14ac:dyDescent="0.25">
      <c r="A7" s="306"/>
      <c r="B7" s="306"/>
      <c r="C7" s="306"/>
      <c r="D7" s="306"/>
      <c r="E7" s="306"/>
      <c r="F7" s="306"/>
      <c r="G7" s="306"/>
      <c r="H7" s="306"/>
      <c r="I7" s="306"/>
      <c r="J7" s="306"/>
      <c r="K7" s="306"/>
      <c r="L7" s="306"/>
      <c r="M7" s="306"/>
      <c r="N7" s="306"/>
      <c r="O7" s="306"/>
      <c r="P7" s="306"/>
      <c r="Q7" s="306"/>
      <c r="R7" s="306"/>
      <c r="S7" s="306"/>
      <c r="T7" s="306"/>
      <c r="U7" s="306"/>
      <c r="V7" s="306"/>
      <c r="W7" s="306"/>
      <c r="X7" s="306"/>
      <c r="Y7" s="306"/>
      <c r="Z7" s="306"/>
      <c r="AA7" s="107"/>
      <c r="AB7" s="107"/>
    </row>
    <row r="8" spans="1:28" ht="15.75" x14ac:dyDescent="0.25">
      <c r="A8" s="304" t="str">
        <f>'1. паспорт местоположение'!A9:C9</f>
        <v xml:space="preserve">Акционерное общество "Западная энергетическая компания" </v>
      </c>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109"/>
      <c r="AB8" s="109"/>
    </row>
    <row r="9" spans="1:28" ht="15.75" x14ac:dyDescent="0.25">
      <c r="A9" s="310" t="s">
        <v>6</v>
      </c>
      <c r="B9" s="310"/>
      <c r="C9" s="310"/>
      <c r="D9" s="310"/>
      <c r="E9" s="310"/>
      <c r="F9" s="310"/>
      <c r="G9" s="310"/>
      <c r="H9" s="310"/>
      <c r="I9" s="310"/>
      <c r="J9" s="310"/>
      <c r="K9" s="310"/>
      <c r="L9" s="310"/>
      <c r="M9" s="310"/>
      <c r="N9" s="310"/>
      <c r="O9" s="310"/>
      <c r="P9" s="310"/>
      <c r="Q9" s="310"/>
      <c r="R9" s="310"/>
      <c r="S9" s="310"/>
      <c r="T9" s="310"/>
      <c r="U9" s="310"/>
      <c r="V9" s="310"/>
      <c r="W9" s="310"/>
      <c r="X9" s="310"/>
      <c r="Y9" s="310"/>
      <c r="Z9" s="310"/>
      <c r="AA9" s="110"/>
      <c r="AB9" s="110"/>
    </row>
    <row r="10" spans="1:28" ht="18.75" x14ac:dyDescent="0.25">
      <c r="A10" s="306"/>
      <c r="B10" s="306"/>
      <c r="C10" s="306"/>
      <c r="D10" s="306"/>
      <c r="E10" s="306"/>
      <c r="F10" s="306"/>
      <c r="G10" s="306"/>
      <c r="H10" s="306"/>
      <c r="I10" s="306"/>
      <c r="J10" s="306"/>
      <c r="K10" s="306"/>
      <c r="L10" s="306"/>
      <c r="M10" s="306"/>
      <c r="N10" s="306"/>
      <c r="O10" s="306"/>
      <c r="P10" s="306"/>
      <c r="Q10" s="306"/>
      <c r="R10" s="306"/>
      <c r="S10" s="306"/>
      <c r="T10" s="306"/>
      <c r="U10" s="306"/>
      <c r="V10" s="306"/>
      <c r="W10" s="306"/>
      <c r="X10" s="306"/>
      <c r="Y10" s="306"/>
      <c r="Z10" s="306"/>
      <c r="AA10" s="107"/>
      <c r="AB10" s="107"/>
    </row>
    <row r="11" spans="1:28" ht="15.75" x14ac:dyDescent="0.25">
      <c r="A11" s="304" t="str">
        <f>'1. паспорт местоположение'!A12:C12</f>
        <v>O 24-28</v>
      </c>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109"/>
      <c r="AB11" s="109"/>
    </row>
    <row r="12" spans="1:28" ht="15.75" x14ac:dyDescent="0.25">
      <c r="A12" s="310" t="s">
        <v>5</v>
      </c>
      <c r="B12" s="310"/>
      <c r="C12" s="310"/>
      <c r="D12" s="310"/>
      <c r="E12" s="310"/>
      <c r="F12" s="310"/>
      <c r="G12" s="310"/>
      <c r="H12" s="310"/>
      <c r="I12" s="310"/>
      <c r="J12" s="310"/>
      <c r="K12" s="310"/>
      <c r="L12" s="310"/>
      <c r="M12" s="310"/>
      <c r="N12" s="310"/>
      <c r="O12" s="310"/>
      <c r="P12" s="310"/>
      <c r="Q12" s="310"/>
      <c r="R12" s="310"/>
      <c r="S12" s="310"/>
      <c r="T12" s="310"/>
      <c r="U12" s="310"/>
      <c r="V12" s="310"/>
      <c r="W12" s="310"/>
      <c r="X12" s="310"/>
      <c r="Y12" s="310"/>
      <c r="Z12" s="310"/>
      <c r="AA12" s="110"/>
      <c r="AB12" s="110"/>
    </row>
    <row r="13" spans="1:28" ht="18.75" x14ac:dyDescent="0.25">
      <c r="A13" s="311"/>
      <c r="B13" s="311"/>
      <c r="C13" s="311"/>
      <c r="D13" s="311"/>
      <c r="E13" s="311"/>
      <c r="F13" s="311"/>
      <c r="G13" s="311"/>
      <c r="H13" s="311"/>
      <c r="I13" s="311"/>
      <c r="J13" s="311"/>
      <c r="K13" s="311"/>
      <c r="L13" s="311"/>
      <c r="M13" s="311"/>
      <c r="N13" s="311"/>
      <c r="O13" s="311"/>
      <c r="P13" s="311"/>
      <c r="Q13" s="311"/>
      <c r="R13" s="311"/>
      <c r="S13" s="311"/>
      <c r="T13" s="311"/>
      <c r="U13" s="311"/>
      <c r="V13" s="311"/>
      <c r="W13" s="311"/>
      <c r="X13" s="311"/>
      <c r="Y13" s="311"/>
      <c r="Z13" s="311"/>
      <c r="AA13" s="124"/>
      <c r="AB13" s="124"/>
    </row>
    <row r="14" spans="1:28" ht="15.75" x14ac:dyDescent="0.25">
      <c r="A14" s="304"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4" s="304"/>
      <c r="C14" s="304"/>
      <c r="D14" s="304"/>
      <c r="E14" s="304"/>
      <c r="F14" s="304"/>
      <c r="G14" s="304"/>
      <c r="H14" s="304"/>
      <c r="I14" s="304"/>
      <c r="J14" s="304"/>
      <c r="K14" s="304"/>
      <c r="L14" s="304"/>
      <c r="M14" s="304"/>
      <c r="N14" s="304"/>
      <c r="O14" s="304"/>
      <c r="P14" s="304"/>
      <c r="Q14" s="304"/>
      <c r="R14" s="304"/>
      <c r="S14" s="304"/>
      <c r="T14" s="304"/>
      <c r="U14" s="304"/>
      <c r="V14" s="304"/>
      <c r="W14" s="304"/>
      <c r="X14" s="304"/>
      <c r="Y14" s="304"/>
      <c r="Z14" s="304"/>
      <c r="AA14" s="109"/>
      <c r="AB14" s="109"/>
    </row>
    <row r="15" spans="1:28" ht="15.75" x14ac:dyDescent="0.25">
      <c r="A15" s="310" t="s">
        <v>4</v>
      </c>
      <c r="B15" s="310"/>
      <c r="C15" s="310"/>
      <c r="D15" s="310"/>
      <c r="E15" s="310"/>
      <c r="F15" s="310"/>
      <c r="G15" s="310"/>
      <c r="H15" s="310"/>
      <c r="I15" s="310"/>
      <c r="J15" s="310"/>
      <c r="K15" s="310"/>
      <c r="L15" s="310"/>
      <c r="M15" s="310"/>
      <c r="N15" s="310"/>
      <c r="O15" s="310"/>
      <c r="P15" s="310"/>
      <c r="Q15" s="310"/>
      <c r="R15" s="310"/>
      <c r="S15" s="310"/>
      <c r="T15" s="310"/>
      <c r="U15" s="310"/>
      <c r="V15" s="310"/>
      <c r="W15" s="310"/>
      <c r="X15" s="310"/>
      <c r="Y15" s="310"/>
      <c r="Z15" s="310"/>
      <c r="AA15" s="110"/>
      <c r="AB15" s="110"/>
    </row>
    <row r="16" spans="1:28" x14ac:dyDescent="0.25">
      <c r="A16" s="331"/>
      <c r="B16" s="331"/>
      <c r="C16" s="331"/>
      <c r="D16" s="331"/>
      <c r="E16" s="331"/>
      <c r="F16" s="331"/>
      <c r="G16" s="331"/>
      <c r="H16" s="331"/>
      <c r="I16" s="331"/>
      <c r="J16" s="331"/>
      <c r="K16" s="331"/>
      <c r="L16" s="331"/>
      <c r="M16" s="331"/>
      <c r="N16" s="331"/>
      <c r="O16" s="331"/>
      <c r="P16" s="331"/>
      <c r="Q16" s="331"/>
      <c r="R16" s="331"/>
      <c r="S16" s="331"/>
      <c r="T16" s="331"/>
      <c r="U16" s="331"/>
      <c r="V16" s="331"/>
      <c r="W16" s="331"/>
      <c r="X16" s="331"/>
      <c r="Y16" s="331"/>
      <c r="Z16" s="331"/>
      <c r="AA16" s="125"/>
      <c r="AB16" s="125"/>
    </row>
    <row r="17" spans="1:28" x14ac:dyDescent="0.25">
      <c r="A17" s="331"/>
      <c r="B17" s="331"/>
      <c r="C17" s="331"/>
      <c r="D17" s="331"/>
      <c r="E17" s="331"/>
      <c r="F17" s="331"/>
      <c r="G17" s="331"/>
      <c r="H17" s="331"/>
      <c r="I17" s="331"/>
      <c r="J17" s="331"/>
      <c r="K17" s="331"/>
      <c r="L17" s="331"/>
      <c r="M17" s="331"/>
      <c r="N17" s="331"/>
      <c r="O17" s="331"/>
      <c r="P17" s="331"/>
      <c r="Q17" s="331"/>
      <c r="R17" s="331"/>
      <c r="S17" s="331"/>
      <c r="T17" s="331"/>
      <c r="U17" s="331"/>
      <c r="V17" s="331"/>
      <c r="W17" s="331"/>
      <c r="X17" s="331"/>
      <c r="Y17" s="331"/>
      <c r="Z17" s="331"/>
      <c r="AA17" s="125"/>
      <c r="AB17" s="125"/>
    </row>
    <row r="18" spans="1:28" x14ac:dyDescent="0.25">
      <c r="A18" s="331"/>
      <c r="B18" s="331"/>
      <c r="C18" s="331"/>
      <c r="D18" s="331"/>
      <c r="E18" s="331"/>
      <c r="F18" s="331"/>
      <c r="G18" s="331"/>
      <c r="H18" s="331"/>
      <c r="I18" s="331"/>
      <c r="J18" s="331"/>
      <c r="K18" s="331"/>
      <c r="L18" s="331"/>
      <c r="M18" s="331"/>
      <c r="N18" s="331"/>
      <c r="O18" s="331"/>
      <c r="P18" s="331"/>
      <c r="Q18" s="331"/>
      <c r="R18" s="331"/>
      <c r="S18" s="331"/>
      <c r="T18" s="331"/>
      <c r="U18" s="331"/>
      <c r="V18" s="331"/>
      <c r="W18" s="331"/>
      <c r="X18" s="331"/>
      <c r="Y18" s="331"/>
      <c r="Z18" s="331"/>
      <c r="AA18" s="125"/>
      <c r="AB18" s="125"/>
    </row>
    <row r="19" spans="1:28" x14ac:dyDescent="0.25">
      <c r="A19" s="331"/>
      <c r="B19" s="331"/>
      <c r="C19" s="331"/>
      <c r="D19" s="331"/>
      <c r="E19" s="331"/>
      <c r="F19" s="331"/>
      <c r="G19" s="331"/>
      <c r="H19" s="331"/>
      <c r="I19" s="331"/>
      <c r="J19" s="331"/>
      <c r="K19" s="331"/>
      <c r="L19" s="331"/>
      <c r="M19" s="331"/>
      <c r="N19" s="331"/>
      <c r="O19" s="331"/>
      <c r="P19" s="331"/>
      <c r="Q19" s="331"/>
      <c r="R19" s="331"/>
      <c r="S19" s="331"/>
      <c r="T19" s="331"/>
      <c r="U19" s="331"/>
      <c r="V19" s="331"/>
      <c r="W19" s="331"/>
      <c r="X19" s="331"/>
      <c r="Y19" s="331"/>
      <c r="Z19" s="331"/>
      <c r="AA19" s="125"/>
      <c r="AB19" s="125"/>
    </row>
    <row r="20" spans="1:28" x14ac:dyDescent="0.25">
      <c r="A20" s="331"/>
      <c r="B20" s="331"/>
      <c r="C20" s="331"/>
      <c r="D20" s="331"/>
      <c r="E20" s="331"/>
      <c r="F20" s="331"/>
      <c r="G20" s="331"/>
      <c r="H20" s="331"/>
      <c r="I20" s="331"/>
      <c r="J20" s="331"/>
      <c r="K20" s="331"/>
      <c r="L20" s="331"/>
      <c r="M20" s="331"/>
      <c r="N20" s="331"/>
      <c r="O20" s="331"/>
      <c r="P20" s="331"/>
      <c r="Q20" s="331"/>
      <c r="R20" s="331"/>
      <c r="S20" s="331"/>
      <c r="T20" s="331"/>
      <c r="U20" s="331"/>
      <c r="V20" s="331"/>
      <c r="W20" s="331"/>
      <c r="X20" s="331"/>
      <c r="Y20" s="331"/>
      <c r="Z20" s="331"/>
      <c r="AA20" s="125"/>
      <c r="AB20" s="125"/>
    </row>
    <row r="21" spans="1:28" x14ac:dyDescent="0.25">
      <c r="A21" s="331"/>
      <c r="B21" s="331"/>
      <c r="C21" s="331"/>
      <c r="D21" s="331"/>
      <c r="E21" s="331"/>
      <c r="F21" s="331"/>
      <c r="G21" s="331"/>
      <c r="H21" s="331"/>
      <c r="I21" s="331"/>
      <c r="J21" s="331"/>
      <c r="K21" s="331"/>
      <c r="L21" s="331"/>
      <c r="M21" s="331"/>
      <c r="N21" s="331"/>
      <c r="O21" s="331"/>
      <c r="P21" s="331"/>
      <c r="Q21" s="331"/>
      <c r="R21" s="331"/>
      <c r="S21" s="331"/>
      <c r="T21" s="331"/>
      <c r="U21" s="331"/>
      <c r="V21" s="331"/>
      <c r="W21" s="331"/>
      <c r="X21" s="331"/>
      <c r="Y21" s="331"/>
      <c r="Z21" s="331"/>
      <c r="AA21" s="125"/>
      <c r="AB21" s="125"/>
    </row>
    <row r="22" spans="1:28" x14ac:dyDescent="0.25">
      <c r="A22" s="332" t="s">
        <v>412</v>
      </c>
      <c r="B22" s="332"/>
      <c r="C22" s="332"/>
      <c r="D22" s="332"/>
      <c r="E22" s="332"/>
      <c r="F22" s="332"/>
      <c r="G22" s="332"/>
      <c r="H22" s="332"/>
      <c r="I22" s="332"/>
      <c r="J22" s="332"/>
      <c r="K22" s="332"/>
      <c r="L22" s="332"/>
      <c r="M22" s="332"/>
      <c r="N22" s="332"/>
      <c r="O22" s="332"/>
      <c r="P22" s="332"/>
      <c r="Q22" s="332"/>
      <c r="R22" s="332"/>
      <c r="S22" s="332"/>
      <c r="T22" s="332"/>
      <c r="U22" s="332"/>
      <c r="V22" s="332"/>
      <c r="W22" s="332"/>
      <c r="X22" s="332"/>
      <c r="Y22" s="332"/>
      <c r="Z22" s="332"/>
      <c r="AA22" s="126"/>
      <c r="AB22" s="126"/>
    </row>
    <row r="23" spans="1:28" ht="32.25" customHeight="1" x14ac:dyDescent="0.25">
      <c r="A23" s="334" t="s">
        <v>295</v>
      </c>
      <c r="B23" s="335"/>
      <c r="C23" s="335"/>
      <c r="D23" s="335"/>
      <c r="E23" s="335"/>
      <c r="F23" s="335"/>
      <c r="G23" s="335"/>
      <c r="H23" s="335"/>
      <c r="I23" s="335"/>
      <c r="J23" s="335"/>
      <c r="K23" s="335"/>
      <c r="L23" s="336"/>
      <c r="M23" s="333" t="s">
        <v>296</v>
      </c>
      <c r="N23" s="333"/>
      <c r="O23" s="333"/>
      <c r="P23" s="333"/>
      <c r="Q23" s="333"/>
      <c r="R23" s="333"/>
      <c r="S23" s="333"/>
      <c r="T23" s="333"/>
      <c r="U23" s="333"/>
      <c r="V23" s="333"/>
      <c r="W23" s="333"/>
      <c r="X23" s="333"/>
      <c r="Y23" s="333"/>
      <c r="Z23" s="333"/>
    </row>
    <row r="24" spans="1:28" ht="151.5" customHeight="1" x14ac:dyDescent="0.25">
      <c r="A24" s="127" t="s">
        <v>210</v>
      </c>
      <c r="B24" s="128" t="s">
        <v>230</v>
      </c>
      <c r="C24" s="127" t="s">
        <v>293</v>
      </c>
      <c r="D24" s="127" t="s">
        <v>211</v>
      </c>
      <c r="E24" s="127" t="s">
        <v>294</v>
      </c>
      <c r="F24" s="127" t="s">
        <v>441</v>
      </c>
      <c r="G24" s="127" t="s">
        <v>442</v>
      </c>
      <c r="H24" s="127" t="s">
        <v>212</v>
      </c>
      <c r="I24" s="127" t="s">
        <v>443</v>
      </c>
      <c r="J24" s="127" t="s">
        <v>235</v>
      </c>
      <c r="K24" s="128" t="s">
        <v>229</v>
      </c>
      <c r="L24" s="128" t="s">
        <v>213</v>
      </c>
      <c r="M24" s="129" t="s">
        <v>242</v>
      </c>
      <c r="N24" s="128" t="s">
        <v>444</v>
      </c>
      <c r="O24" s="127" t="s">
        <v>445</v>
      </c>
      <c r="P24" s="127" t="s">
        <v>446</v>
      </c>
      <c r="Q24" s="127" t="s">
        <v>447</v>
      </c>
      <c r="R24" s="127" t="s">
        <v>212</v>
      </c>
      <c r="S24" s="127" t="s">
        <v>448</v>
      </c>
      <c r="T24" s="127" t="s">
        <v>449</v>
      </c>
      <c r="U24" s="127" t="s">
        <v>450</v>
      </c>
      <c r="V24" s="127" t="s">
        <v>447</v>
      </c>
      <c r="W24" s="130" t="s">
        <v>451</v>
      </c>
      <c r="X24" s="130" t="s">
        <v>452</v>
      </c>
      <c r="Y24" s="130" t="s">
        <v>453</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454</v>
      </c>
      <c r="D26" s="133" t="s">
        <v>455</v>
      </c>
      <c r="E26" s="133" t="s">
        <v>456</v>
      </c>
      <c r="F26" s="133" t="s">
        <v>457</v>
      </c>
      <c r="G26" s="133" t="s">
        <v>458</v>
      </c>
      <c r="H26" s="133" t="s">
        <v>212</v>
      </c>
      <c r="I26" s="133" t="s">
        <v>459</v>
      </c>
      <c r="J26" s="133" t="s">
        <v>460</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461</v>
      </c>
      <c r="G27" s="133" t="s">
        <v>462</v>
      </c>
      <c r="H27" s="134" t="s">
        <v>212</v>
      </c>
      <c r="I27" s="133" t="s">
        <v>463</v>
      </c>
      <c r="J27" s="133" t="s">
        <v>464</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465</v>
      </c>
      <c r="G28" s="133" t="s">
        <v>466</v>
      </c>
      <c r="H28" s="134" t="s">
        <v>212</v>
      </c>
      <c r="I28" s="133" t="s">
        <v>236</v>
      </c>
      <c r="J28" s="133" t="s">
        <v>467</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468</v>
      </c>
      <c r="G29" s="133" t="s">
        <v>469</v>
      </c>
      <c r="H29" s="134" t="s">
        <v>212</v>
      </c>
      <c r="I29" s="133" t="s">
        <v>237</v>
      </c>
      <c r="J29" s="133" t="s">
        <v>470</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471</v>
      </c>
      <c r="G30" s="133" t="s">
        <v>472</v>
      </c>
      <c r="H30" s="134" t="s">
        <v>212</v>
      </c>
      <c r="I30" s="133" t="s">
        <v>238</v>
      </c>
      <c r="J30" s="133" t="s">
        <v>473</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474</v>
      </c>
      <c r="D32" s="133" t="s">
        <v>475</v>
      </c>
      <c r="E32" s="133" t="s">
        <v>476</v>
      </c>
      <c r="F32" s="133" t="s">
        <v>477</v>
      </c>
      <c r="G32" s="133" t="s">
        <v>478</v>
      </c>
      <c r="H32" s="133" t="s">
        <v>212</v>
      </c>
      <c r="I32" s="133" t="s">
        <v>479</v>
      </c>
      <c r="J32" s="133" t="s">
        <v>480</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297" t="str">
        <f>'1. паспорт местоположение'!A5:C5</f>
        <v>Год раскрытия информации: 2024 год</v>
      </c>
      <c r="B5" s="297"/>
      <c r="C5" s="297"/>
      <c r="D5" s="297"/>
      <c r="E5" s="297"/>
      <c r="F5" s="297"/>
      <c r="G5" s="297"/>
      <c r="H5" s="297"/>
      <c r="I5" s="297"/>
      <c r="J5" s="297"/>
      <c r="K5" s="297"/>
      <c r="L5" s="297"/>
      <c r="M5" s="297"/>
      <c r="N5" s="297"/>
      <c r="O5" s="297"/>
      <c r="P5" s="86"/>
      <c r="Q5" s="86"/>
      <c r="R5" s="86"/>
      <c r="S5" s="86"/>
      <c r="T5" s="86"/>
      <c r="U5" s="86"/>
      <c r="V5" s="86"/>
      <c r="W5" s="86"/>
      <c r="X5" s="86"/>
      <c r="Y5" s="86"/>
      <c r="Z5" s="86"/>
      <c r="AA5" s="86"/>
      <c r="AB5" s="86"/>
    </row>
    <row r="6" spans="1:28" s="14" customFormat="1" ht="18.75" x14ac:dyDescent="0.3">
      <c r="A6" s="105"/>
      <c r="B6" s="105"/>
      <c r="L6" s="12"/>
    </row>
    <row r="7" spans="1:28" s="14" customFormat="1" ht="18.75" x14ac:dyDescent="0.2">
      <c r="A7" s="306" t="s">
        <v>7</v>
      </c>
      <c r="B7" s="306"/>
      <c r="C7" s="306"/>
      <c r="D7" s="306"/>
      <c r="E7" s="306"/>
      <c r="F7" s="306"/>
      <c r="G7" s="306"/>
      <c r="H7" s="306"/>
      <c r="I7" s="306"/>
      <c r="J7" s="306"/>
      <c r="K7" s="306"/>
      <c r="L7" s="306"/>
      <c r="M7" s="306"/>
      <c r="N7" s="306"/>
      <c r="O7" s="306"/>
      <c r="P7" s="107"/>
      <c r="Q7" s="107"/>
      <c r="R7" s="107"/>
      <c r="S7" s="107"/>
      <c r="T7" s="107"/>
      <c r="U7" s="107"/>
      <c r="V7" s="107"/>
      <c r="W7" s="107"/>
      <c r="X7" s="107"/>
      <c r="Y7" s="107"/>
      <c r="Z7" s="107"/>
    </row>
    <row r="8" spans="1:28" s="14" customFormat="1" ht="18.75" x14ac:dyDescent="0.2">
      <c r="A8" s="306"/>
      <c r="B8" s="306"/>
      <c r="C8" s="306"/>
      <c r="D8" s="306"/>
      <c r="E8" s="306"/>
      <c r="F8" s="306"/>
      <c r="G8" s="306"/>
      <c r="H8" s="306"/>
      <c r="I8" s="306"/>
      <c r="J8" s="306"/>
      <c r="K8" s="306"/>
      <c r="L8" s="306"/>
      <c r="M8" s="306"/>
      <c r="N8" s="306"/>
      <c r="O8" s="306"/>
      <c r="P8" s="107"/>
      <c r="Q8" s="107"/>
      <c r="R8" s="107"/>
      <c r="S8" s="107"/>
      <c r="T8" s="107"/>
      <c r="U8" s="107"/>
      <c r="V8" s="107"/>
      <c r="W8" s="107"/>
      <c r="X8" s="107"/>
      <c r="Y8" s="107"/>
      <c r="Z8" s="107"/>
    </row>
    <row r="9" spans="1:28" s="14" customFormat="1" ht="18.75" x14ac:dyDescent="0.2">
      <c r="A9" s="304" t="str">
        <f>'1. паспорт местоположение'!A9:C9</f>
        <v xml:space="preserve">Акционерное общество "Западная энергетическая компания" </v>
      </c>
      <c r="B9" s="304"/>
      <c r="C9" s="304"/>
      <c r="D9" s="304"/>
      <c r="E9" s="304"/>
      <c r="F9" s="304"/>
      <c r="G9" s="304"/>
      <c r="H9" s="304"/>
      <c r="I9" s="304"/>
      <c r="J9" s="304"/>
      <c r="K9" s="304"/>
      <c r="L9" s="304"/>
      <c r="M9" s="304"/>
      <c r="N9" s="304"/>
      <c r="O9" s="304"/>
      <c r="P9" s="107"/>
      <c r="Q9" s="107"/>
      <c r="R9" s="107"/>
      <c r="S9" s="107"/>
      <c r="T9" s="107"/>
      <c r="U9" s="107"/>
      <c r="V9" s="107"/>
      <c r="W9" s="107"/>
      <c r="X9" s="107"/>
      <c r="Y9" s="107"/>
      <c r="Z9" s="107"/>
    </row>
    <row r="10" spans="1:28" s="14" customFormat="1" ht="18.75" x14ac:dyDescent="0.2">
      <c r="A10" s="310" t="s">
        <v>6</v>
      </c>
      <c r="B10" s="310"/>
      <c r="C10" s="310"/>
      <c r="D10" s="310"/>
      <c r="E10" s="310"/>
      <c r="F10" s="310"/>
      <c r="G10" s="310"/>
      <c r="H10" s="310"/>
      <c r="I10" s="310"/>
      <c r="J10" s="310"/>
      <c r="K10" s="310"/>
      <c r="L10" s="310"/>
      <c r="M10" s="310"/>
      <c r="N10" s="310"/>
      <c r="O10" s="310"/>
      <c r="P10" s="107"/>
      <c r="Q10" s="107"/>
      <c r="R10" s="107"/>
      <c r="S10" s="107"/>
      <c r="T10" s="107"/>
      <c r="U10" s="107"/>
      <c r="V10" s="107"/>
      <c r="W10" s="107"/>
      <c r="X10" s="107"/>
      <c r="Y10" s="107"/>
      <c r="Z10" s="107"/>
    </row>
    <row r="11" spans="1:28" s="14" customFormat="1" ht="18.75" x14ac:dyDescent="0.2">
      <c r="A11" s="306"/>
      <c r="B11" s="306"/>
      <c r="C11" s="306"/>
      <c r="D11" s="306"/>
      <c r="E11" s="306"/>
      <c r="F11" s="306"/>
      <c r="G11" s="306"/>
      <c r="H11" s="306"/>
      <c r="I11" s="306"/>
      <c r="J11" s="306"/>
      <c r="K11" s="306"/>
      <c r="L11" s="306"/>
      <c r="M11" s="306"/>
      <c r="N11" s="306"/>
      <c r="O11" s="306"/>
      <c r="P11" s="107"/>
      <c r="Q11" s="107"/>
      <c r="R11" s="107"/>
      <c r="S11" s="107"/>
      <c r="T11" s="107"/>
      <c r="U11" s="107"/>
      <c r="V11" s="107"/>
      <c r="W11" s="107"/>
      <c r="X11" s="107"/>
      <c r="Y11" s="107"/>
      <c r="Z11" s="107"/>
    </row>
    <row r="12" spans="1:28" s="14" customFormat="1" ht="18.75" x14ac:dyDescent="0.2">
      <c r="A12" s="304" t="str">
        <f>'1. паспорт местоположение'!A12:C12</f>
        <v>O 24-28</v>
      </c>
      <c r="B12" s="304"/>
      <c r="C12" s="304"/>
      <c r="D12" s="304"/>
      <c r="E12" s="304"/>
      <c r="F12" s="304"/>
      <c r="G12" s="304"/>
      <c r="H12" s="304"/>
      <c r="I12" s="304"/>
      <c r="J12" s="304"/>
      <c r="K12" s="304"/>
      <c r="L12" s="304"/>
      <c r="M12" s="304"/>
      <c r="N12" s="304"/>
      <c r="O12" s="304"/>
      <c r="P12" s="107"/>
      <c r="Q12" s="107"/>
      <c r="R12" s="107"/>
      <c r="S12" s="107"/>
      <c r="T12" s="107"/>
      <c r="U12" s="107"/>
      <c r="V12" s="107"/>
      <c r="W12" s="107"/>
      <c r="X12" s="107"/>
      <c r="Y12" s="107"/>
      <c r="Z12" s="107"/>
    </row>
    <row r="13" spans="1:28" s="14" customFormat="1" ht="18.75" x14ac:dyDescent="0.2">
      <c r="A13" s="310" t="s">
        <v>5</v>
      </c>
      <c r="B13" s="310"/>
      <c r="C13" s="310"/>
      <c r="D13" s="310"/>
      <c r="E13" s="310"/>
      <c r="F13" s="310"/>
      <c r="G13" s="310"/>
      <c r="H13" s="310"/>
      <c r="I13" s="310"/>
      <c r="J13" s="310"/>
      <c r="K13" s="310"/>
      <c r="L13" s="310"/>
      <c r="M13" s="310"/>
      <c r="N13" s="310"/>
      <c r="O13" s="310"/>
      <c r="P13" s="107"/>
      <c r="Q13" s="107"/>
      <c r="R13" s="107"/>
      <c r="S13" s="107"/>
      <c r="T13" s="107"/>
      <c r="U13" s="107"/>
      <c r="V13" s="107"/>
      <c r="W13" s="107"/>
      <c r="X13" s="107"/>
      <c r="Y13" s="107"/>
      <c r="Z13" s="107"/>
    </row>
    <row r="14" spans="1:28" s="14" customFormat="1" ht="15.75" customHeight="1" x14ac:dyDescent="0.2">
      <c r="A14" s="311"/>
      <c r="B14" s="311"/>
      <c r="C14" s="311"/>
      <c r="D14" s="311"/>
      <c r="E14" s="311"/>
      <c r="F14" s="311"/>
      <c r="G14" s="311"/>
      <c r="H14" s="311"/>
      <c r="I14" s="311"/>
      <c r="J14" s="311"/>
      <c r="K14" s="311"/>
      <c r="L14" s="311"/>
      <c r="M14" s="311"/>
      <c r="N14" s="311"/>
      <c r="O14" s="311"/>
      <c r="P14" s="108"/>
      <c r="Q14" s="108"/>
      <c r="R14" s="108"/>
      <c r="S14" s="108"/>
      <c r="T14" s="108"/>
      <c r="U14" s="108"/>
      <c r="V14" s="108"/>
      <c r="W14" s="108"/>
      <c r="X14" s="108"/>
      <c r="Y14" s="108"/>
      <c r="Z14" s="108"/>
    </row>
    <row r="15" spans="1:28" s="106" customFormat="1" ht="15.75" x14ac:dyDescent="0.2">
      <c r="A15" s="304"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5" s="304"/>
      <c r="C15" s="304"/>
      <c r="D15" s="304"/>
      <c r="E15" s="304"/>
      <c r="F15" s="304"/>
      <c r="G15" s="304"/>
      <c r="H15" s="304"/>
      <c r="I15" s="304"/>
      <c r="J15" s="304"/>
      <c r="K15" s="304"/>
      <c r="L15" s="304"/>
      <c r="M15" s="304"/>
      <c r="N15" s="304"/>
      <c r="O15" s="304"/>
      <c r="P15" s="109"/>
      <c r="Q15" s="109"/>
      <c r="R15" s="109"/>
      <c r="S15" s="109"/>
      <c r="T15" s="109"/>
      <c r="U15" s="109"/>
      <c r="V15" s="109"/>
      <c r="W15" s="109"/>
      <c r="X15" s="109"/>
      <c r="Y15" s="109"/>
      <c r="Z15" s="109"/>
    </row>
    <row r="16" spans="1:28" s="106" customFormat="1" ht="15" customHeight="1" x14ac:dyDescent="0.2">
      <c r="A16" s="310" t="s">
        <v>4</v>
      </c>
      <c r="B16" s="310"/>
      <c r="C16" s="310"/>
      <c r="D16" s="310"/>
      <c r="E16" s="310"/>
      <c r="F16" s="310"/>
      <c r="G16" s="310"/>
      <c r="H16" s="310"/>
      <c r="I16" s="310"/>
      <c r="J16" s="310"/>
      <c r="K16" s="310"/>
      <c r="L16" s="310"/>
      <c r="M16" s="310"/>
      <c r="N16" s="310"/>
      <c r="O16" s="310"/>
      <c r="P16" s="110"/>
      <c r="Q16" s="110"/>
      <c r="R16" s="110"/>
      <c r="S16" s="110"/>
      <c r="T16" s="110"/>
      <c r="U16" s="110"/>
      <c r="V16" s="110"/>
      <c r="W16" s="110"/>
      <c r="X16" s="110"/>
      <c r="Y16" s="110"/>
      <c r="Z16" s="110"/>
    </row>
    <row r="17" spans="1:26" s="106" customFormat="1" ht="15" customHeight="1" x14ac:dyDescent="0.2">
      <c r="A17" s="311"/>
      <c r="B17" s="311"/>
      <c r="C17" s="311"/>
      <c r="D17" s="311"/>
      <c r="E17" s="311"/>
      <c r="F17" s="311"/>
      <c r="G17" s="311"/>
      <c r="H17" s="311"/>
      <c r="I17" s="311"/>
      <c r="J17" s="311"/>
      <c r="K17" s="311"/>
      <c r="L17" s="311"/>
      <c r="M17" s="311"/>
      <c r="N17" s="311"/>
      <c r="O17" s="311"/>
      <c r="P17" s="108"/>
      <c r="Q17" s="108"/>
      <c r="R17" s="108"/>
      <c r="S17" s="108"/>
      <c r="T17" s="108"/>
      <c r="U17" s="108"/>
      <c r="V17" s="108"/>
      <c r="W17" s="108"/>
    </row>
    <row r="18" spans="1:26" s="106" customFormat="1" ht="91.5" customHeight="1" x14ac:dyDescent="0.2">
      <c r="A18" s="341" t="s">
        <v>390</v>
      </c>
      <c r="B18" s="341"/>
      <c r="C18" s="341"/>
      <c r="D18" s="341"/>
      <c r="E18" s="341"/>
      <c r="F18" s="341"/>
      <c r="G18" s="341"/>
      <c r="H18" s="341"/>
      <c r="I18" s="341"/>
      <c r="J18" s="341"/>
      <c r="K18" s="341"/>
      <c r="L18" s="341"/>
      <c r="M18" s="341"/>
      <c r="N18" s="341"/>
      <c r="O18" s="341"/>
      <c r="P18" s="111"/>
      <c r="Q18" s="111"/>
      <c r="R18" s="111"/>
      <c r="S18" s="111"/>
      <c r="T18" s="111"/>
      <c r="U18" s="111"/>
      <c r="V18" s="111"/>
      <c r="W18" s="111"/>
      <c r="X18" s="111"/>
      <c r="Y18" s="111"/>
      <c r="Z18" s="111"/>
    </row>
    <row r="19" spans="1:26" s="106" customFormat="1" ht="78" customHeight="1" x14ac:dyDescent="0.2">
      <c r="A19" s="337" t="s">
        <v>3</v>
      </c>
      <c r="B19" s="337" t="s">
        <v>82</v>
      </c>
      <c r="C19" s="337" t="s">
        <v>81</v>
      </c>
      <c r="D19" s="337" t="s">
        <v>73</v>
      </c>
      <c r="E19" s="338" t="s">
        <v>80</v>
      </c>
      <c r="F19" s="339"/>
      <c r="G19" s="339"/>
      <c r="H19" s="339"/>
      <c r="I19" s="340"/>
      <c r="J19" s="337" t="s">
        <v>79</v>
      </c>
      <c r="K19" s="337"/>
      <c r="L19" s="337"/>
      <c r="M19" s="337"/>
      <c r="N19" s="337"/>
      <c r="O19" s="337"/>
      <c r="P19" s="108"/>
      <c r="Q19" s="108"/>
      <c r="R19" s="108"/>
      <c r="S19" s="108"/>
      <c r="T19" s="108"/>
      <c r="U19" s="108"/>
      <c r="V19" s="108"/>
      <c r="W19" s="108"/>
    </row>
    <row r="20" spans="1:26" s="106" customFormat="1" ht="51" customHeight="1" x14ac:dyDescent="0.2">
      <c r="A20" s="337"/>
      <c r="B20" s="337"/>
      <c r="C20" s="337"/>
      <c r="D20" s="337"/>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540</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abSelected="1" workbookViewId="0">
      <selection activeCell="D32" sqref="D32"/>
    </sheetView>
  </sheetViews>
  <sheetFormatPr defaultRowHeight="12.75" x14ac:dyDescent="0.2"/>
  <cols>
    <col min="1" max="1" width="66.140625" style="207" customWidth="1"/>
    <col min="2" max="2" width="17.140625" style="207" customWidth="1"/>
    <col min="3" max="3" width="13.85546875" style="207" customWidth="1"/>
    <col min="4" max="5" width="13.5703125" style="207" customWidth="1"/>
    <col min="6" max="6" width="14.5703125" style="207" customWidth="1"/>
    <col min="7" max="7" width="13.42578125" style="207" customWidth="1"/>
    <col min="8" max="11" width="15.42578125" style="207" customWidth="1"/>
    <col min="12" max="13" width="15.42578125" style="207" hidden="1" customWidth="1"/>
    <col min="14" max="14" width="15.42578125" style="280" hidden="1" customWidth="1"/>
    <col min="15" max="19" width="15.42578125" style="207" hidden="1" customWidth="1"/>
    <col min="20" max="29" width="17.28515625" style="207" hidden="1" customWidth="1"/>
    <col min="30" max="31" width="17.28515625" style="197" hidden="1" customWidth="1"/>
    <col min="32" max="16384" width="9.140625" style="197"/>
  </cols>
  <sheetData>
    <row r="1" spans="1:45" x14ac:dyDescent="0.2">
      <c r="A1" s="194"/>
      <c r="B1" s="195"/>
      <c r="C1" s="195"/>
      <c r="D1" s="195"/>
      <c r="E1" s="195"/>
      <c r="F1" s="195"/>
      <c r="G1" s="195"/>
      <c r="H1" s="195"/>
      <c r="I1" s="195"/>
      <c r="J1" s="195"/>
      <c r="K1" s="196"/>
      <c r="L1" s="195"/>
      <c r="M1" s="195"/>
      <c r="N1" s="195"/>
      <c r="O1" s="195"/>
      <c r="P1" s="196" t="s">
        <v>66</v>
      </c>
      <c r="Q1" s="195"/>
      <c r="R1" s="195"/>
      <c r="S1" s="195"/>
      <c r="T1" s="195"/>
      <c r="U1" s="195"/>
      <c r="V1" s="195"/>
      <c r="W1" s="195"/>
      <c r="X1" s="195"/>
      <c r="Y1" s="195"/>
      <c r="Z1" s="195"/>
      <c r="AA1" s="195"/>
      <c r="AB1" s="195"/>
      <c r="AC1" s="195"/>
      <c r="AD1" s="195"/>
      <c r="AE1" s="195"/>
      <c r="AF1" s="195"/>
      <c r="AG1" s="195"/>
      <c r="AH1" s="195"/>
      <c r="AI1" s="195"/>
      <c r="AJ1" s="195"/>
      <c r="AK1" s="195"/>
      <c r="AL1" s="195"/>
      <c r="AM1" s="195"/>
      <c r="AN1" s="195"/>
      <c r="AP1" s="198"/>
      <c r="AQ1" s="198"/>
      <c r="AR1" s="199"/>
      <c r="AS1" s="199"/>
    </row>
    <row r="2" spans="1:45" x14ac:dyDescent="0.2">
      <c r="A2" s="194"/>
      <c r="B2" s="195"/>
      <c r="C2" s="195"/>
      <c r="D2" s="195"/>
      <c r="E2" s="195"/>
      <c r="F2" s="195"/>
      <c r="G2" s="195"/>
      <c r="H2" s="195"/>
      <c r="I2" s="195"/>
      <c r="J2" s="195"/>
      <c r="K2" s="200"/>
      <c r="L2" s="195"/>
      <c r="M2" s="195"/>
      <c r="N2" s="195"/>
      <c r="O2" s="195"/>
      <c r="P2" s="200" t="s">
        <v>8</v>
      </c>
      <c r="Q2" s="195"/>
      <c r="R2" s="195"/>
      <c r="S2" s="195"/>
      <c r="T2" s="195"/>
      <c r="U2" s="195"/>
      <c r="V2" s="195"/>
      <c r="W2" s="195"/>
      <c r="X2" s="195"/>
      <c r="Y2" s="195"/>
      <c r="Z2" s="195"/>
      <c r="AA2" s="195"/>
      <c r="AB2" s="195"/>
      <c r="AC2" s="195"/>
      <c r="AD2" s="195"/>
      <c r="AE2" s="195"/>
      <c r="AF2" s="195"/>
      <c r="AG2" s="195"/>
      <c r="AH2" s="195"/>
      <c r="AI2" s="195"/>
      <c r="AJ2" s="195"/>
      <c r="AK2" s="195"/>
      <c r="AL2" s="195"/>
      <c r="AM2" s="195"/>
      <c r="AN2" s="195"/>
      <c r="AP2" s="198"/>
      <c r="AQ2" s="198"/>
      <c r="AR2" s="199"/>
      <c r="AS2" s="199"/>
    </row>
    <row r="3" spans="1:45" x14ac:dyDescent="0.2">
      <c r="A3" s="201"/>
      <c r="B3" s="195"/>
      <c r="C3" s="195"/>
      <c r="D3" s="195"/>
      <c r="E3" s="195"/>
      <c r="F3" s="195"/>
      <c r="G3" s="195"/>
      <c r="H3" s="195"/>
      <c r="I3" s="195"/>
      <c r="J3" s="195"/>
      <c r="K3" s="200"/>
      <c r="L3" s="195"/>
      <c r="M3" s="195"/>
      <c r="N3" s="195"/>
      <c r="O3" s="195"/>
      <c r="P3" s="200" t="s">
        <v>439</v>
      </c>
      <c r="Q3" s="195"/>
      <c r="R3" s="195"/>
      <c r="S3" s="195"/>
      <c r="T3" s="195"/>
      <c r="U3" s="195"/>
      <c r="V3" s="195"/>
      <c r="W3" s="195"/>
      <c r="X3" s="195"/>
      <c r="Y3" s="195"/>
      <c r="Z3" s="195"/>
      <c r="AA3" s="195"/>
      <c r="AB3" s="195"/>
      <c r="AC3" s="195"/>
      <c r="AD3" s="195"/>
      <c r="AE3" s="195"/>
      <c r="AF3" s="195"/>
      <c r="AG3" s="195"/>
      <c r="AH3" s="195"/>
      <c r="AI3" s="195"/>
      <c r="AJ3" s="195"/>
      <c r="AK3" s="195"/>
      <c r="AL3" s="195"/>
      <c r="AM3" s="195"/>
      <c r="AN3" s="195"/>
      <c r="AP3" s="198"/>
      <c r="AQ3" s="198"/>
      <c r="AR3" s="199"/>
      <c r="AS3" s="199"/>
    </row>
    <row r="4" spans="1:45" x14ac:dyDescent="0.2">
      <c r="A4" s="202"/>
      <c r="B4" s="194"/>
      <c r="C4" s="194"/>
      <c r="D4" s="194"/>
      <c r="E4" s="194"/>
      <c r="F4" s="194"/>
      <c r="G4" s="194"/>
      <c r="H4" s="194"/>
      <c r="I4" s="194"/>
      <c r="J4" s="194"/>
      <c r="K4" s="200"/>
      <c r="L4" s="194"/>
      <c r="M4" s="194"/>
      <c r="N4" s="194"/>
      <c r="O4" s="194"/>
      <c r="P4" s="194"/>
      <c r="Q4" s="195"/>
      <c r="R4" s="195"/>
      <c r="S4" s="195"/>
      <c r="T4" s="195"/>
      <c r="U4" s="195"/>
      <c r="V4" s="195"/>
      <c r="W4" s="195"/>
      <c r="X4" s="195"/>
      <c r="Y4" s="195"/>
      <c r="Z4" s="195"/>
      <c r="AA4" s="195"/>
      <c r="AB4" s="195"/>
      <c r="AC4" s="195"/>
      <c r="AD4" s="195"/>
      <c r="AE4" s="195"/>
      <c r="AF4" s="195"/>
      <c r="AG4" s="195"/>
      <c r="AH4" s="195"/>
      <c r="AI4" s="195"/>
      <c r="AJ4" s="195"/>
      <c r="AK4" s="195"/>
      <c r="AL4" s="195"/>
      <c r="AM4" s="195"/>
      <c r="AN4" s="195"/>
      <c r="AO4" s="195"/>
      <c r="AP4" s="198"/>
      <c r="AQ4" s="198"/>
      <c r="AR4" s="199"/>
      <c r="AS4" s="199"/>
    </row>
    <row r="5" spans="1:45" x14ac:dyDescent="0.2">
      <c r="A5" s="343" t="str">
        <f>'1. паспорт местоположение'!A5:C5</f>
        <v>Год раскрытия информации: 2024 год</v>
      </c>
      <c r="B5" s="343"/>
      <c r="C5" s="343"/>
      <c r="D5" s="343"/>
      <c r="E5" s="343"/>
      <c r="F5" s="343"/>
      <c r="G5" s="343"/>
      <c r="H5" s="343"/>
      <c r="I5" s="343"/>
      <c r="J5" s="343"/>
      <c r="K5" s="343"/>
      <c r="L5" s="343"/>
      <c r="M5" s="343"/>
      <c r="N5" s="343"/>
      <c r="O5" s="343"/>
      <c r="P5" s="343"/>
      <c r="Q5" s="203"/>
      <c r="R5" s="203"/>
      <c r="S5" s="203"/>
      <c r="T5" s="203"/>
      <c r="U5" s="203"/>
      <c r="V5" s="203"/>
      <c r="W5" s="203"/>
      <c r="X5" s="203"/>
      <c r="Y5" s="203"/>
      <c r="Z5" s="203"/>
      <c r="AA5" s="203"/>
      <c r="AB5" s="203"/>
      <c r="AC5" s="203"/>
      <c r="AD5" s="203"/>
      <c r="AE5" s="203"/>
      <c r="AF5" s="203"/>
      <c r="AG5" s="203"/>
      <c r="AH5" s="203"/>
      <c r="AI5" s="203"/>
      <c r="AJ5" s="203"/>
      <c r="AK5" s="203"/>
      <c r="AL5" s="203"/>
      <c r="AM5" s="203"/>
      <c r="AN5" s="203"/>
      <c r="AO5" s="203"/>
      <c r="AP5" s="198"/>
      <c r="AQ5" s="198"/>
      <c r="AR5" s="199"/>
      <c r="AS5" s="199"/>
    </row>
    <row r="6" spans="1:45" x14ac:dyDescent="0.2">
      <c r="A6" s="202"/>
      <c r="B6" s="194"/>
      <c r="C6" s="194"/>
      <c r="D6" s="194"/>
      <c r="E6" s="194"/>
      <c r="F6" s="194"/>
      <c r="G6" s="194"/>
      <c r="H6" s="194"/>
      <c r="I6" s="194"/>
      <c r="J6" s="194"/>
      <c r="K6" s="200"/>
      <c r="L6" s="194"/>
      <c r="M6" s="194"/>
      <c r="N6" s="194"/>
      <c r="O6" s="194"/>
      <c r="P6" s="194"/>
      <c r="Q6" s="195"/>
      <c r="R6" s="195"/>
      <c r="S6" s="195"/>
      <c r="T6" s="195"/>
      <c r="U6" s="195"/>
      <c r="V6" s="195"/>
      <c r="W6" s="195"/>
      <c r="X6" s="195"/>
      <c r="Y6" s="195"/>
      <c r="Z6" s="195"/>
      <c r="AA6" s="195"/>
      <c r="AB6" s="195"/>
      <c r="AC6" s="195"/>
      <c r="AD6" s="195"/>
      <c r="AE6" s="195"/>
      <c r="AF6" s="195"/>
      <c r="AG6" s="195"/>
      <c r="AH6" s="195"/>
      <c r="AI6" s="195"/>
      <c r="AJ6" s="195"/>
      <c r="AK6" s="195"/>
      <c r="AL6" s="195"/>
      <c r="AM6" s="195"/>
      <c r="AN6" s="195"/>
      <c r="AO6" s="195"/>
      <c r="AP6" s="198"/>
      <c r="AQ6" s="198"/>
      <c r="AR6" s="199"/>
      <c r="AS6" s="199"/>
    </row>
    <row r="7" spans="1:45" x14ac:dyDescent="0.2">
      <c r="A7" s="343" t="s">
        <v>7</v>
      </c>
      <c r="B7" s="343"/>
      <c r="C7" s="343"/>
      <c r="D7" s="343"/>
      <c r="E7" s="343"/>
      <c r="F7" s="343"/>
      <c r="G7" s="343"/>
      <c r="H7" s="343"/>
      <c r="I7" s="343"/>
      <c r="J7" s="343"/>
      <c r="K7" s="343"/>
      <c r="L7" s="343"/>
      <c r="M7" s="343"/>
      <c r="N7" s="343"/>
      <c r="O7" s="343"/>
      <c r="P7" s="343"/>
      <c r="Q7" s="204"/>
      <c r="R7" s="204"/>
      <c r="S7" s="204"/>
      <c r="T7" s="204"/>
      <c r="U7" s="204"/>
      <c r="V7" s="204"/>
      <c r="W7" s="204"/>
      <c r="X7" s="204"/>
      <c r="Y7" s="204"/>
      <c r="Z7" s="204"/>
      <c r="AA7" s="204"/>
      <c r="AB7" s="204"/>
      <c r="AC7" s="204"/>
      <c r="AD7" s="204"/>
      <c r="AE7" s="204"/>
      <c r="AF7" s="204"/>
      <c r="AG7" s="204"/>
      <c r="AH7" s="204"/>
      <c r="AI7" s="204"/>
      <c r="AJ7" s="204"/>
      <c r="AK7" s="204"/>
      <c r="AL7" s="204"/>
      <c r="AM7" s="204"/>
      <c r="AN7" s="204"/>
      <c r="AO7" s="204"/>
      <c r="AP7" s="198"/>
      <c r="AQ7" s="198"/>
      <c r="AR7" s="199"/>
      <c r="AS7" s="199"/>
    </row>
    <row r="8" spans="1:45" x14ac:dyDescent="0.2">
      <c r="A8" s="205"/>
      <c r="B8" s="205"/>
      <c r="C8" s="205"/>
      <c r="D8" s="205"/>
      <c r="E8" s="205"/>
      <c r="F8" s="205"/>
      <c r="G8" s="205"/>
      <c r="H8" s="205"/>
      <c r="I8" s="205"/>
      <c r="J8" s="205"/>
      <c r="K8" s="205"/>
      <c r="L8" s="203"/>
      <c r="M8" s="203"/>
      <c r="N8" s="203"/>
      <c r="O8" s="203"/>
      <c r="P8" s="203"/>
      <c r="Q8" s="204"/>
      <c r="R8" s="204"/>
      <c r="S8" s="204"/>
      <c r="T8" s="204"/>
      <c r="U8" s="204"/>
      <c r="V8" s="204"/>
      <c r="W8" s="204"/>
      <c r="X8" s="204"/>
      <c r="Y8" s="204"/>
      <c r="Z8" s="195"/>
      <c r="AA8" s="195"/>
      <c r="AB8" s="195"/>
      <c r="AC8" s="195"/>
      <c r="AD8" s="195"/>
      <c r="AE8" s="195"/>
      <c r="AF8" s="195"/>
      <c r="AG8" s="195"/>
      <c r="AH8" s="195"/>
      <c r="AI8" s="195"/>
      <c r="AJ8" s="195"/>
      <c r="AK8" s="195"/>
      <c r="AL8" s="195"/>
      <c r="AM8" s="195"/>
      <c r="AN8" s="195"/>
      <c r="AO8" s="195"/>
      <c r="AP8" s="198"/>
      <c r="AQ8" s="198"/>
      <c r="AR8" s="199"/>
      <c r="AS8" s="199"/>
    </row>
    <row r="9" spans="1:45" x14ac:dyDescent="0.2">
      <c r="A9" s="344" t="str">
        <f>'1. паспорт местоположение'!A9:C9</f>
        <v xml:space="preserve">Акционерное общество "Западная энергетическая компания" </v>
      </c>
      <c r="B9" s="344"/>
      <c r="C9" s="344"/>
      <c r="D9" s="344"/>
      <c r="E9" s="344"/>
      <c r="F9" s="344"/>
      <c r="G9" s="344"/>
      <c r="H9" s="344"/>
      <c r="I9" s="344"/>
      <c r="J9" s="344"/>
      <c r="K9" s="344"/>
      <c r="L9" s="344"/>
      <c r="M9" s="344"/>
      <c r="N9" s="344"/>
      <c r="O9" s="344"/>
      <c r="P9" s="344"/>
      <c r="Q9" s="206"/>
      <c r="R9" s="206"/>
      <c r="S9" s="206"/>
      <c r="T9" s="206"/>
      <c r="U9" s="206"/>
      <c r="V9" s="206"/>
      <c r="W9" s="206"/>
      <c r="X9" s="206"/>
      <c r="Y9" s="206"/>
      <c r="Z9" s="206"/>
      <c r="AA9" s="206"/>
      <c r="AB9" s="206"/>
      <c r="AC9" s="206"/>
      <c r="AD9" s="206"/>
      <c r="AE9" s="206"/>
      <c r="AF9" s="206"/>
      <c r="AG9" s="206"/>
      <c r="AH9" s="206"/>
      <c r="AI9" s="206"/>
      <c r="AJ9" s="206"/>
      <c r="AK9" s="206"/>
      <c r="AL9" s="206"/>
      <c r="AM9" s="206"/>
      <c r="AN9" s="206"/>
      <c r="AO9" s="206"/>
      <c r="AP9" s="198"/>
      <c r="AQ9" s="198"/>
      <c r="AR9" s="199"/>
      <c r="AS9" s="199"/>
    </row>
    <row r="10" spans="1:45" x14ac:dyDescent="0.2">
      <c r="A10" s="342" t="s">
        <v>6</v>
      </c>
      <c r="B10" s="342"/>
      <c r="C10" s="342"/>
      <c r="D10" s="342"/>
      <c r="E10" s="342"/>
      <c r="F10" s="342"/>
      <c r="G10" s="342"/>
      <c r="H10" s="342"/>
      <c r="I10" s="342"/>
      <c r="J10" s="342"/>
      <c r="K10" s="342"/>
      <c r="L10" s="342"/>
      <c r="M10" s="342"/>
      <c r="N10" s="342"/>
      <c r="O10" s="342"/>
      <c r="P10" s="342"/>
      <c r="AD10" s="207"/>
      <c r="AE10" s="207"/>
      <c r="AF10" s="207"/>
      <c r="AG10" s="207"/>
      <c r="AH10" s="207"/>
      <c r="AI10" s="207"/>
      <c r="AJ10" s="207"/>
      <c r="AK10" s="207"/>
      <c r="AL10" s="207"/>
      <c r="AM10" s="207"/>
      <c r="AN10" s="207"/>
      <c r="AO10" s="207"/>
      <c r="AP10" s="198"/>
      <c r="AQ10" s="198"/>
      <c r="AR10" s="199"/>
      <c r="AS10" s="199"/>
    </row>
    <row r="11" spans="1:45" x14ac:dyDescent="0.2">
      <c r="A11" s="205"/>
      <c r="B11" s="205"/>
      <c r="C11" s="205"/>
      <c r="D11" s="205"/>
      <c r="E11" s="205"/>
      <c r="F11" s="205"/>
      <c r="G11" s="205"/>
      <c r="H11" s="205"/>
      <c r="I11" s="205"/>
      <c r="J11" s="205"/>
      <c r="K11" s="205"/>
      <c r="L11" s="203"/>
      <c r="M11" s="203"/>
      <c r="N11" s="203"/>
      <c r="O11" s="203"/>
      <c r="P11" s="203"/>
      <c r="Q11" s="204"/>
      <c r="R11" s="204"/>
      <c r="S11" s="204"/>
      <c r="T11" s="204"/>
      <c r="U11" s="204"/>
      <c r="V11" s="204"/>
      <c r="W11" s="204"/>
      <c r="X11" s="204"/>
      <c r="Y11" s="204"/>
      <c r="Z11" s="195"/>
      <c r="AA11" s="195"/>
      <c r="AB11" s="195"/>
      <c r="AC11" s="195"/>
      <c r="AD11" s="195"/>
      <c r="AE11" s="195"/>
      <c r="AF11" s="195"/>
      <c r="AG11" s="195"/>
      <c r="AH11" s="195"/>
      <c r="AI11" s="195"/>
      <c r="AJ11" s="195"/>
      <c r="AK11" s="195"/>
      <c r="AL11" s="195"/>
      <c r="AM11" s="195"/>
      <c r="AN11" s="195"/>
      <c r="AO11" s="195"/>
      <c r="AP11" s="198"/>
      <c r="AQ11" s="198"/>
      <c r="AR11" s="199"/>
      <c r="AS11" s="199"/>
    </row>
    <row r="12" spans="1:45" x14ac:dyDescent="0.2">
      <c r="A12" s="344" t="str">
        <f>'1. паспорт местоположение'!A12:C12</f>
        <v>O 24-28</v>
      </c>
      <c r="B12" s="344"/>
      <c r="C12" s="344"/>
      <c r="D12" s="344"/>
      <c r="E12" s="344"/>
      <c r="F12" s="344"/>
      <c r="G12" s="344"/>
      <c r="H12" s="344"/>
      <c r="I12" s="344"/>
      <c r="J12" s="344"/>
      <c r="K12" s="344"/>
      <c r="L12" s="344"/>
      <c r="M12" s="344"/>
      <c r="N12" s="344"/>
      <c r="O12" s="344"/>
      <c r="P12" s="344"/>
      <c r="Q12" s="206"/>
      <c r="R12" s="206"/>
      <c r="S12" s="206"/>
      <c r="T12" s="206"/>
      <c r="U12" s="206"/>
      <c r="V12" s="206"/>
      <c r="W12" s="206"/>
      <c r="X12" s="206"/>
      <c r="Y12" s="206"/>
      <c r="Z12" s="206"/>
      <c r="AA12" s="206"/>
      <c r="AB12" s="206"/>
      <c r="AC12" s="206"/>
      <c r="AD12" s="206"/>
      <c r="AE12" s="206"/>
      <c r="AF12" s="206"/>
      <c r="AG12" s="206"/>
      <c r="AH12" s="206"/>
      <c r="AI12" s="206"/>
      <c r="AJ12" s="206"/>
      <c r="AK12" s="206"/>
      <c r="AL12" s="206"/>
      <c r="AM12" s="206"/>
      <c r="AN12" s="206"/>
      <c r="AO12" s="206"/>
      <c r="AP12" s="198"/>
      <c r="AQ12" s="198"/>
      <c r="AR12" s="199"/>
      <c r="AS12" s="199"/>
    </row>
    <row r="13" spans="1:45" x14ac:dyDescent="0.2">
      <c r="A13" s="342" t="s">
        <v>5</v>
      </c>
      <c r="B13" s="342"/>
      <c r="C13" s="342"/>
      <c r="D13" s="342"/>
      <c r="E13" s="342"/>
      <c r="F13" s="342"/>
      <c r="G13" s="342"/>
      <c r="H13" s="342"/>
      <c r="I13" s="342"/>
      <c r="J13" s="342"/>
      <c r="K13" s="342"/>
      <c r="L13" s="342"/>
      <c r="M13" s="342"/>
      <c r="N13" s="342"/>
      <c r="O13" s="342"/>
      <c r="P13" s="342"/>
      <c r="AD13" s="207"/>
      <c r="AE13" s="207"/>
      <c r="AF13" s="207"/>
      <c r="AG13" s="207"/>
      <c r="AH13" s="207"/>
      <c r="AI13" s="207"/>
      <c r="AJ13" s="207"/>
      <c r="AK13" s="207"/>
      <c r="AL13" s="207"/>
      <c r="AM13" s="207"/>
      <c r="AN13" s="207"/>
      <c r="AO13" s="207"/>
      <c r="AP13" s="198"/>
      <c r="AQ13" s="198"/>
      <c r="AR13" s="199"/>
      <c r="AS13" s="199"/>
    </row>
    <row r="14" spans="1:45" x14ac:dyDescent="0.2">
      <c r="A14" s="208"/>
      <c r="B14" s="208"/>
      <c r="C14" s="208"/>
      <c r="D14" s="208"/>
      <c r="E14" s="208"/>
      <c r="F14" s="208"/>
      <c r="G14" s="208"/>
      <c r="H14" s="208"/>
      <c r="I14" s="208"/>
      <c r="J14" s="208"/>
      <c r="K14" s="208"/>
      <c r="L14" s="208"/>
      <c r="M14" s="208"/>
      <c r="N14" s="208"/>
      <c r="O14" s="208"/>
      <c r="P14" s="208"/>
      <c r="Q14" s="209"/>
      <c r="R14" s="209"/>
      <c r="S14" s="209"/>
      <c r="T14" s="209"/>
      <c r="U14" s="209"/>
      <c r="V14" s="209"/>
      <c r="W14" s="209"/>
      <c r="X14" s="209"/>
      <c r="Y14" s="209"/>
      <c r="Z14" s="195"/>
      <c r="AA14" s="195"/>
      <c r="AB14" s="195"/>
      <c r="AC14" s="195"/>
      <c r="AD14" s="195"/>
      <c r="AE14" s="195"/>
      <c r="AF14" s="195"/>
      <c r="AG14" s="195"/>
      <c r="AH14" s="195"/>
      <c r="AI14" s="195"/>
      <c r="AJ14" s="195"/>
      <c r="AK14" s="195"/>
      <c r="AL14" s="195"/>
      <c r="AM14" s="195"/>
      <c r="AN14" s="195"/>
      <c r="AO14" s="195"/>
      <c r="AP14" s="198"/>
      <c r="AQ14" s="198"/>
      <c r="AR14" s="199"/>
      <c r="AS14" s="199"/>
    </row>
    <row r="15" spans="1:45" x14ac:dyDescent="0.2">
      <c r="A15" s="349"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5" s="349"/>
      <c r="C15" s="349"/>
      <c r="D15" s="349"/>
      <c r="E15" s="349"/>
      <c r="F15" s="349"/>
      <c r="G15" s="349"/>
      <c r="H15" s="349"/>
      <c r="I15" s="349"/>
      <c r="J15" s="349"/>
      <c r="K15" s="349"/>
      <c r="L15" s="349"/>
      <c r="M15" s="349"/>
      <c r="N15" s="349"/>
      <c r="O15" s="349"/>
      <c r="P15" s="349"/>
      <c r="Q15" s="210"/>
      <c r="R15" s="210"/>
      <c r="S15" s="210"/>
      <c r="T15" s="210"/>
      <c r="U15" s="210"/>
      <c r="V15" s="210"/>
      <c r="W15" s="210"/>
      <c r="X15" s="210"/>
      <c r="Y15" s="210"/>
      <c r="Z15" s="210"/>
      <c r="AA15" s="210"/>
      <c r="AB15" s="210"/>
      <c r="AC15" s="210"/>
      <c r="AD15" s="210"/>
      <c r="AE15" s="210"/>
      <c r="AF15" s="210"/>
      <c r="AG15" s="210"/>
      <c r="AH15" s="210"/>
      <c r="AI15" s="210"/>
      <c r="AJ15" s="210"/>
      <c r="AK15" s="210"/>
      <c r="AL15" s="210"/>
      <c r="AM15" s="210"/>
      <c r="AN15" s="210"/>
      <c r="AO15" s="210"/>
      <c r="AP15" s="198"/>
      <c r="AQ15" s="198"/>
      <c r="AR15" s="199"/>
      <c r="AS15" s="199"/>
    </row>
    <row r="16" spans="1:45" x14ac:dyDescent="0.2">
      <c r="A16" s="350" t="s">
        <v>4</v>
      </c>
      <c r="B16" s="350"/>
      <c r="C16" s="350"/>
      <c r="D16" s="350"/>
      <c r="E16" s="350"/>
      <c r="F16" s="350"/>
      <c r="G16" s="350"/>
      <c r="H16" s="350"/>
      <c r="I16" s="350"/>
      <c r="J16" s="350"/>
      <c r="K16" s="350"/>
      <c r="L16" s="350"/>
      <c r="M16" s="350"/>
      <c r="N16" s="350"/>
      <c r="O16" s="350"/>
      <c r="P16" s="350"/>
      <c r="AD16" s="207"/>
      <c r="AE16" s="207"/>
      <c r="AF16" s="207"/>
      <c r="AG16" s="207"/>
      <c r="AH16" s="207"/>
      <c r="AI16" s="207"/>
      <c r="AJ16" s="207"/>
      <c r="AK16" s="207"/>
      <c r="AL16" s="207"/>
      <c r="AM16" s="207"/>
      <c r="AN16" s="207"/>
      <c r="AO16" s="207"/>
      <c r="AP16" s="198"/>
      <c r="AQ16" s="198"/>
      <c r="AR16" s="199"/>
      <c r="AS16" s="199"/>
    </row>
    <row r="17" spans="1:45" x14ac:dyDescent="0.2">
      <c r="A17" s="209"/>
      <c r="B17" s="209"/>
      <c r="C17" s="209"/>
      <c r="D17" s="209"/>
      <c r="E17" s="209"/>
      <c r="F17" s="209"/>
      <c r="G17" s="209"/>
      <c r="H17" s="209"/>
      <c r="I17" s="209"/>
      <c r="J17" s="209"/>
      <c r="K17" s="209"/>
      <c r="L17" s="209"/>
      <c r="M17" s="209"/>
      <c r="N17" s="209"/>
      <c r="O17" s="209"/>
      <c r="P17" s="209"/>
      <c r="Q17" s="209"/>
      <c r="R17" s="209"/>
      <c r="S17" s="209"/>
      <c r="T17" s="209"/>
      <c r="U17" s="209"/>
      <c r="V17" s="209"/>
      <c r="W17" s="211"/>
      <c r="X17" s="211"/>
      <c r="Y17" s="211"/>
      <c r="Z17" s="211"/>
      <c r="AA17" s="211"/>
      <c r="AB17" s="211"/>
      <c r="AC17" s="211"/>
      <c r="AD17" s="211"/>
      <c r="AE17" s="211"/>
      <c r="AF17" s="211"/>
      <c r="AG17" s="211"/>
      <c r="AH17" s="211"/>
      <c r="AI17" s="211"/>
      <c r="AJ17" s="211"/>
      <c r="AK17" s="211"/>
      <c r="AL17" s="211"/>
      <c r="AM17" s="211"/>
      <c r="AN17" s="211"/>
      <c r="AO17" s="211"/>
      <c r="AP17" s="198"/>
      <c r="AQ17" s="198"/>
      <c r="AR17" s="199"/>
      <c r="AS17" s="199"/>
    </row>
    <row r="18" spans="1:45" x14ac:dyDescent="0.2">
      <c r="A18" s="351" t="s">
        <v>391</v>
      </c>
      <c r="B18" s="351"/>
      <c r="C18" s="351"/>
      <c r="D18" s="351"/>
      <c r="E18" s="351"/>
      <c r="F18" s="351"/>
      <c r="G18" s="351"/>
      <c r="H18" s="351"/>
      <c r="I18" s="351"/>
      <c r="J18" s="351"/>
      <c r="K18" s="351"/>
      <c r="L18" s="351"/>
      <c r="M18" s="351"/>
      <c r="N18" s="351"/>
      <c r="O18" s="351"/>
      <c r="P18" s="351"/>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198"/>
      <c r="AQ18" s="198"/>
      <c r="AR18" s="199"/>
      <c r="AS18" s="199"/>
    </row>
    <row r="19" spans="1:45" x14ac:dyDescent="0.2">
      <c r="A19" s="212"/>
      <c r="B19" s="212"/>
      <c r="C19" s="212"/>
      <c r="D19" s="212"/>
      <c r="E19" s="212"/>
      <c r="F19" s="212"/>
      <c r="G19" s="212"/>
      <c r="H19" s="212"/>
      <c r="I19" s="212"/>
      <c r="J19" s="212"/>
      <c r="K19" s="212"/>
      <c r="L19" s="212"/>
      <c r="M19" s="212"/>
      <c r="N19" s="212"/>
      <c r="O19" s="212"/>
      <c r="P19" s="212"/>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c r="AN19" s="206"/>
      <c r="AO19" s="206"/>
      <c r="AP19" s="198"/>
      <c r="AQ19" s="198"/>
      <c r="AR19" s="199"/>
      <c r="AS19" s="199"/>
    </row>
    <row r="20" spans="1:45" x14ac:dyDescent="0.2">
      <c r="A20" s="212"/>
      <c r="B20" s="212"/>
      <c r="C20" s="212"/>
      <c r="D20" s="212"/>
      <c r="E20" s="212"/>
      <c r="F20" s="212"/>
      <c r="G20" s="212"/>
      <c r="H20" s="212"/>
      <c r="I20" s="212"/>
      <c r="J20" s="212"/>
      <c r="K20" s="212"/>
      <c r="L20" s="212"/>
      <c r="M20" s="212"/>
      <c r="N20" s="212"/>
      <c r="O20" s="212"/>
      <c r="P20" s="212"/>
      <c r="Q20" s="206"/>
      <c r="R20" s="206"/>
      <c r="S20" s="206"/>
      <c r="T20" s="206"/>
      <c r="U20" s="206"/>
      <c r="V20" s="206"/>
      <c r="W20" s="206"/>
      <c r="X20" s="206"/>
      <c r="Y20" s="206"/>
      <c r="Z20" s="206"/>
      <c r="AA20" s="206"/>
      <c r="AB20" s="206"/>
      <c r="AC20" s="206"/>
      <c r="AD20" s="206"/>
      <c r="AE20" s="206"/>
      <c r="AF20" s="206"/>
      <c r="AG20" s="206"/>
      <c r="AH20" s="206"/>
      <c r="AI20" s="206"/>
      <c r="AJ20" s="206"/>
      <c r="AK20" s="206"/>
      <c r="AL20" s="206"/>
      <c r="AM20" s="206"/>
      <c r="AN20" s="206"/>
      <c r="AO20" s="206"/>
      <c r="AP20" s="198"/>
      <c r="AQ20" s="198"/>
      <c r="AR20" s="199"/>
      <c r="AS20" s="199"/>
    </row>
    <row r="21" spans="1:45" x14ac:dyDescent="0.2">
      <c r="A21" s="213"/>
      <c r="N21" s="207"/>
      <c r="AP21" s="198"/>
      <c r="AQ21" s="198"/>
      <c r="AR21" s="199"/>
      <c r="AS21" s="199"/>
    </row>
    <row r="22" spans="1:45" x14ac:dyDescent="0.2">
      <c r="A22" s="204"/>
      <c r="N22" s="207"/>
      <c r="AP22" s="198"/>
      <c r="AQ22" s="198"/>
      <c r="AR22" s="199"/>
      <c r="AS22" s="199"/>
    </row>
    <row r="23" spans="1:45" ht="13.5" thickBot="1" x14ac:dyDescent="0.25">
      <c r="A23" s="214" t="s">
        <v>288</v>
      </c>
      <c r="B23" s="214" t="s">
        <v>1</v>
      </c>
      <c r="D23" s="215"/>
      <c r="N23" s="207"/>
    </row>
    <row r="24" spans="1:45" ht="15" x14ac:dyDescent="0.2">
      <c r="A24" s="216" t="s">
        <v>426</v>
      </c>
      <c r="B24" s="187">
        <f>'6.2. Паспорт фин осв ввод'!C30*1000000</f>
        <v>23323372.600669999</v>
      </c>
      <c r="N24" s="207"/>
    </row>
    <row r="25" spans="1:45" x14ac:dyDescent="0.2">
      <c r="A25" s="217" t="s">
        <v>286</v>
      </c>
      <c r="B25" s="218">
        <v>0</v>
      </c>
      <c r="N25" s="207"/>
    </row>
    <row r="26" spans="1:45" x14ac:dyDescent="0.2">
      <c r="A26" s="219" t="s">
        <v>284</v>
      </c>
      <c r="B26" s="218">
        <v>30</v>
      </c>
      <c r="D26" s="204" t="s">
        <v>287</v>
      </c>
      <c r="N26" s="207"/>
    </row>
    <row r="27" spans="1:45" ht="13.5" thickBot="1" x14ac:dyDescent="0.25">
      <c r="A27" s="220" t="s">
        <v>282</v>
      </c>
      <c r="B27" s="221">
        <v>1</v>
      </c>
      <c r="D27" s="345" t="s">
        <v>285</v>
      </c>
      <c r="E27" s="346"/>
      <c r="F27" s="347"/>
      <c r="G27" s="222" t="str">
        <f>IF(SUM(B89:AG89)=0,"не окупается",SUM(B89:AG89))</f>
        <v>не окупается</v>
      </c>
      <c r="H27" s="223"/>
      <c r="N27" s="207"/>
    </row>
    <row r="28" spans="1:45" ht="15" x14ac:dyDescent="0.2">
      <c r="A28" s="216" t="s">
        <v>281</v>
      </c>
      <c r="B28" s="187">
        <f>B24*0.001</f>
        <v>23323.372600669998</v>
      </c>
      <c r="D28" s="345" t="s">
        <v>283</v>
      </c>
      <c r="E28" s="346"/>
      <c r="F28" s="347"/>
      <c r="G28" s="222" t="str">
        <f>IF(SUM(B90:AG90)=0,"не окупается",SUM(B90:AG90))</f>
        <v>не окупается</v>
      </c>
      <c r="H28" s="223"/>
      <c r="N28" s="207"/>
    </row>
    <row r="29" spans="1:45" x14ac:dyDescent="0.2">
      <c r="A29" s="219" t="s">
        <v>427</v>
      </c>
      <c r="B29" s="218">
        <v>3</v>
      </c>
      <c r="D29" s="345" t="s">
        <v>574</v>
      </c>
      <c r="E29" s="346"/>
      <c r="F29" s="347"/>
      <c r="G29" s="224">
        <f>M87</f>
        <v>-30948067.467088871</v>
      </c>
      <c r="H29" s="225"/>
      <c r="N29" s="207"/>
    </row>
    <row r="30" spans="1:45" x14ac:dyDescent="0.2">
      <c r="A30" s="219" t="s">
        <v>280</v>
      </c>
      <c r="B30" s="218">
        <v>6</v>
      </c>
      <c r="D30" s="345"/>
      <c r="E30" s="346"/>
      <c r="F30" s="347"/>
      <c r="G30" s="226"/>
      <c r="H30" s="227"/>
      <c r="N30" s="207"/>
    </row>
    <row r="31" spans="1:45" x14ac:dyDescent="0.2">
      <c r="A31" s="219" t="s">
        <v>259</v>
      </c>
      <c r="B31" s="218">
        <v>0</v>
      </c>
      <c r="N31" s="207"/>
    </row>
    <row r="32" spans="1:45" x14ac:dyDescent="0.2">
      <c r="A32" s="219" t="s">
        <v>279</v>
      </c>
      <c r="B32" s="218">
        <v>1</v>
      </c>
      <c r="N32" s="207"/>
    </row>
    <row r="33" spans="1:31" x14ac:dyDescent="0.2">
      <c r="A33" s="219" t="s">
        <v>278</v>
      </c>
      <c r="B33" s="218">
        <v>1</v>
      </c>
      <c r="N33" s="207"/>
    </row>
    <row r="34" spans="1:31" x14ac:dyDescent="0.2">
      <c r="A34" s="228" t="s">
        <v>575</v>
      </c>
      <c r="B34" s="218">
        <f>B24*0.03</f>
        <v>699701.17802009988</v>
      </c>
      <c r="N34" s="207"/>
    </row>
    <row r="35" spans="1:31" ht="13.5" thickBot="1" x14ac:dyDescent="0.25">
      <c r="A35" s="229" t="s">
        <v>253</v>
      </c>
      <c r="B35" s="230">
        <v>0.2</v>
      </c>
      <c r="N35" s="207"/>
    </row>
    <row r="36" spans="1:31" x14ac:dyDescent="0.2">
      <c r="A36" s="216" t="s">
        <v>428</v>
      </c>
      <c r="B36" s="231">
        <v>0</v>
      </c>
      <c r="N36" s="207"/>
    </row>
    <row r="37" spans="1:31" x14ac:dyDescent="0.2">
      <c r="A37" s="217" t="s">
        <v>277</v>
      </c>
      <c r="B37" s="218"/>
      <c r="N37" s="207"/>
    </row>
    <row r="38" spans="1:31" ht="13.5" thickBot="1" x14ac:dyDescent="0.25">
      <c r="A38" s="228" t="s">
        <v>276</v>
      </c>
      <c r="B38" s="232"/>
      <c r="N38" s="207"/>
    </row>
    <row r="39" spans="1:31" x14ac:dyDescent="0.2">
      <c r="A39" s="233" t="s">
        <v>429</v>
      </c>
      <c r="B39" s="234">
        <v>1</v>
      </c>
      <c r="N39" s="207"/>
    </row>
    <row r="40" spans="1:31" x14ac:dyDescent="0.2">
      <c r="A40" s="235" t="s">
        <v>275</v>
      </c>
      <c r="B40" s="236"/>
      <c r="N40" s="207"/>
    </row>
    <row r="41" spans="1:31" x14ac:dyDescent="0.2">
      <c r="A41" s="235" t="s">
        <v>274</v>
      </c>
      <c r="B41" s="237"/>
      <c r="N41" s="207"/>
    </row>
    <row r="42" spans="1:31" x14ac:dyDescent="0.2">
      <c r="A42" s="235" t="s">
        <v>273</v>
      </c>
      <c r="B42" s="237">
        <v>0</v>
      </c>
      <c r="N42" s="207"/>
    </row>
    <row r="43" spans="1:31" x14ac:dyDescent="0.2">
      <c r="A43" s="235" t="s">
        <v>272</v>
      </c>
      <c r="B43" s="238">
        <v>0.2</v>
      </c>
      <c r="N43" s="207"/>
    </row>
    <row r="44" spans="1:31" x14ac:dyDescent="0.2">
      <c r="A44" s="235" t="s">
        <v>271</v>
      </c>
      <c r="B44" s="239">
        <v>1</v>
      </c>
      <c r="N44" s="207"/>
    </row>
    <row r="45" spans="1:31" ht="13.5" thickBot="1" x14ac:dyDescent="0.25">
      <c r="A45" s="240" t="s">
        <v>576</v>
      </c>
      <c r="B45" s="239">
        <f>B44*B43+B42*B41*(1-B35)</f>
        <v>0.2</v>
      </c>
      <c r="C45" s="241"/>
      <c r="N45" s="207"/>
    </row>
    <row r="46" spans="1:31" x14ac:dyDescent="0.2">
      <c r="A46" s="242" t="s">
        <v>270</v>
      </c>
      <c r="B46" s="243">
        <v>1</v>
      </c>
      <c r="C46" s="243">
        <v>2</v>
      </c>
      <c r="D46" s="243">
        <v>3</v>
      </c>
      <c r="E46" s="243">
        <v>4</v>
      </c>
      <c r="F46" s="243">
        <v>5</v>
      </c>
      <c r="G46" s="243">
        <v>6</v>
      </c>
      <c r="H46" s="243">
        <v>7</v>
      </c>
      <c r="I46" s="243">
        <v>8</v>
      </c>
      <c r="J46" s="243">
        <v>9</v>
      </c>
      <c r="K46" s="243">
        <v>10</v>
      </c>
      <c r="L46" s="243">
        <v>11</v>
      </c>
      <c r="M46" s="243">
        <v>12</v>
      </c>
      <c r="N46" s="243">
        <v>13</v>
      </c>
      <c r="O46" s="243">
        <v>14</v>
      </c>
      <c r="P46" s="243">
        <v>15</v>
      </c>
      <c r="Q46" s="243">
        <v>16</v>
      </c>
      <c r="R46" s="243">
        <v>17</v>
      </c>
      <c r="S46" s="243">
        <v>18</v>
      </c>
      <c r="T46" s="243">
        <v>19</v>
      </c>
      <c r="U46" s="243">
        <v>20</v>
      </c>
      <c r="V46" s="243">
        <v>21</v>
      </c>
      <c r="W46" s="243">
        <v>22</v>
      </c>
      <c r="X46" s="243">
        <v>23</v>
      </c>
      <c r="Y46" s="243">
        <v>24</v>
      </c>
      <c r="Z46" s="243">
        <v>25</v>
      </c>
      <c r="AA46" s="243">
        <v>26</v>
      </c>
      <c r="AB46" s="243">
        <v>27</v>
      </c>
      <c r="AC46" s="244">
        <v>28</v>
      </c>
      <c r="AD46" s="244">
        <v>29</v>
      </c>
      <c r="AE46" s="244">
        <v>30</v>
      </c>
    </row>
    <row r="47" spans="1:31" x14ac:dyDescent="0.2">
      <c r="A47" s="245" t="s">
        <v>269</v>
      </c>
      <c r="B47" s="246">
        <v>4.7619843182130001E-2</v>
      </c>
      <c r="C47" s="246">
        <v>4.57995653007E-2</v>
      </c>
      <c r="D47" s="246">
        <v>4.57995653007E-2</v>
      </c>
      <c r="E47" s="246">
        <v>4.57995653007E-2</v>
      </c>
      <c r="F47" s="246">
        <v>4.57995653007E-2</v>
      </c>
      <c r="G47" s="246">
        <v>4.57995653007E-2</v>
      </c>
      <c r="H47" s="246">
        <v>4.57995653007E-2</v>
      </c>
      <c r="I47" s="246">
        <v>4.57995653007E-2</v>
      </c>
      <c r="J47" s="246">
        <v>4.57995653007E-2</v>
      </c>
      <c r="K47" s="246">
        <v>4.57995653007E-2</v>
      </c>
      <c r="L47" s="247">
        <v>3.7999999999999999E-2</v>
      </c>
      <c r="M47" s="247">
        <v>3.7999999999999999E-2</v>
      </c>
      <c r="N47" s="247">
        <v>3.7999999999999999E-2</v>
      </c>
      <c r="O47" s="247">
        <v>3.7999999999999999E-2</v>
      </c>
      <c r="P47" s="247">
        <v>3.7999999999999999E-2</v>
      </c>
      <c r="Q47" s="247">
        <v>3.7999999999999999E-2</v>
      </c>
      <c r="R47" s="247">
        <v>3.7999999999999999E-2</v>
      </c>
      <c r="S47" s="247">
        <v>3.7999999999999999E-2</v>
      </c>
      <c r="T47" s="247">
        <v>3.7999999999999999E-2</v>
      </c>
      <c r="U47" s="247">
        <v>3.7999999999999999E-2</v>
      </c>
      <c r="V47" s="247">
        <v>3.7999999999999999E-2</v>
      </c>
      <c r="W47" s="247">
        <v>3.7999999999999999E-2</v>
      </c>
      <c r="X47" s="247">
        <v>3.7999999999999999E-2</v>
      </c>
      <c r="Y47" s="247">
        <v>3.7999999999999999E-2</v>
      </c>
      <c r="Z47" s="247">
        <v>3.7999999999999999E-2</v>
      </c>
      <c r="AA47" s="247">
        <v>3.7999999999999999E-2</v>
      </c>
      <c r="AB47" s="247">
        <v>3.7999999999999999E-2</v>
      </c>
      <c r="AC47" s="247">
        <v>3.7999999999999999E-2</v>
      </c>
      <c r="AD47" s="247">
        <v>3.7999999999999999E-2</v>
      </c>
      <c r="AE47" s="247">
        <v>3.7999999999999999E-2</v>
      </c>
    </row>
    <row r="48" spans="1:31" x14ac:dyDescent="0.2">
      <c r="A48" s="245" t="s">
        <v>268</v>
      </c>
      <c r="B48" s="247">
        <f>B47</f>
        <v>4.7619843182130001E-2</v>
      </c>
      <c r="C48" s="247">
        <f t="shared" ref="C48:AE48" si="0">(1+B48)*(1+C47)-1</f>
        <v>9.5600376600258885E-2</v>
      </c>
      <c r="D48" s="247">
        <f t="shared" si="0"/>
        <v>0.14577839759183386</v>
      </c>
      <c r="E48" s="247">
        <f t="shared" si="0"/>
        <v>0.1982545501324724</v>
      </c>
      <c r="F48" s="247">
        <f t="shared" si="0"/>
        <v>0.25313408764812539</v>
      </c>
      <c r="G48" s="247">
        <f t="shared" si="0"/>
        <v>0.31052708412589869</v>
      </c>
      <c r="H48" s="247">
        <f t="shared" si="0"/>
        <v>0.37054865489365874</v>
      </c>
      <c r="I48" s="247">
        <f t="shared" si="0"/>
        <v>0.43331918751124743</v>
      </c>
      <c r="J48" s="247">
        <f t="shared" si="0"/>
        <v>0.4989645832364149</v>
      </c>
      <c r="K48" s="247">
        <f t="shared" si="0"/>
        <v>0.5676165095497876</v>
      </c>
      <c r="L48" s="247">
        <f t="shared" si="0"/>
        <v>0.62718593691267954</v>
      </c>
      <c r="M48" s="247">
        <f t="shared" si="0"/>
        <v>0.68901900251536152</v>
      </c>
      <c r="N48" s="247">
        <f t="shared" si="0"/>
        <v>0.75320172461094526</v>
      </c>
      <c r="O48" s="247">
        <f t="shared" si="0"/>
        <v>0.81982339014616112</v>
      </c>
      <c r="P48" s="247">
        <f t="shared" si="0"/>
        <v>0.88897667897171528</v>
      </c>
      <c r="Q48" s="247">
        <f t="shared" si="0"/>
        <v>0.96075779277264051</v>
      </c>
      <c r="R48" s="247">
        <f t="shared" si="0"/>
        <v>1.0352665888980011</v>
      </c>
      <c r="S48" s="247">
        <f t="shared" si="0"/>
        <v>1.1126067192761253</v>
      </c>
      <c r="T48" s="247">
        <f t="shared" si="0"/>
        <v>1.1928857746086181</v>
      </c>
      <c r="U48" s="247">
        <f t="shared" si="0"/>
        <v>1.2762154340437455</v>
      </c>
      <c r="V48" s="247">
        <f t="shared" si="0"/>
        <v>1.3627116205374077</v>
      </c>
      <c r="W48" s="247">
        <f t="shared" si="0"/>
        <v>1.4524946621178292</v>
      </c>
      <c r="X48" s="247">
        <f t="shared" si="0"/>
        <v>1.5456894592783068</v>
      </c>
      <c r="Y48" s="247">
        <f t="shared" si="0"/>
        <v>1.6424256587308825</v>
      </c>
      <c r="Z48" s="247">
        <f t="shared" si="0"/>
        <v>1.742837833762656</v>
      </c>
      <c r="AA48" s="247">
        <f t="shared" si="0"/>
        <v>1.847065671445637</v>
      </c>
      <c r="AB48" s="247">
        <f t="shared" si="0"/>
        <v>1.9552541669605712</v>
      </c>
      <c r="AC48" s="247">
        <f t="shared" si="0"/>
        <v>2.0675538253050729</v>
      </c>
      <c r="AD48" s="247">
        <f t="shared" si="0"/>
        <v>2.1841208706666659</v>
      </c>
      <c r="AE48" s="247">
        <f t="shared" si="0"/>
        <v>2.3051174637519996</v>
      </c>
    </row>
    <row r="49" spans="1:31" ht="13.5" thickBot="1" x14ac:dyDescent="0.25">
      <c r="A49" s="248" t="s">
        <v>430</v>
      </c>
      <c r="B49" s="249">
        <v>0</v>
      </c>
      <c r="C49" s="249">
        <v>0</v>
      </c>
      <c r="D49" s="249">
        <v>0</v>
      </c>
      <c r="E49" s="249">
        <v>0</v>
      </c>
      <c r="F49" s="249">
        <v>0</v>
      </c>
      <c r="G49" s="249">
        <v>0</v>
      </c>
      <c r="H49" s="249">
        <v>0</v>
      </c>
      <c r="I49" s="249">
        <v>0</v>
      </c>
      <c r="J49" s="249">
        <v>0</v>
      </c>
      <c r="K49" s="249">
        <v>0</v>
      </c>
      <c r="L49" s="249">
        <v>0</v>
      </c>
      <c r="M49" s="249">
        <v>0</v>
      </c>
      <c r="N49" s="249">
        <v>0</v>
      </c>
      <c r="O49" s="249">
        <v>0</v>
      </c>
      <c r="P49" s="249">
        <v>0</v>
      </c>
      <c r="Q49" s="249">
        <v>0</v>
      </c>
      <c r="R49" s="249">
        <v>0</v>
      </c>
      <c r="S49" s="249">
        <v>0</v>
      </c>
      <c r="T49" s="249">
        <v>0</v>
      </c>
      <c r="U49" s="249">
        <v>0</v>
      </c>
      <c r="V49" s="249">
        <v>0</v>
      </c>
      <c r="W49" s="249">
        <v>0</v>
      </c>
      <c r="X49" s="249">
        <v>0</v>
      </c>
      <c r="Y49" s="249">
        <v>0</v>
      </c>
      <c r="Z49" s="249">
        <v>0</v>
      </c>
      <c r="AA49" s="249">
        <v>0</v>
      </c>
      <c r="AB49" s="249">
        <v>0</v>
      </c>
      <c r="AC49" s="249">
        <v>0</v>
      </c>
      <c r="AD49" s="249">
        <v>0</v>
      </c>
      <c r="AE49" s="249">
        <v>0</v>
      </c>
    </row>
    <row r="50" spans="1:31" ht="13.5" thickBot="1" x14ac:dyDescent="0.25">
      <c r="A50" s="250"/>
      <c r="N50" s="207"/>
      <c r="AC50" s="251"/>
      <c r="AD50" s="251"/>
      <c r="AE50" s="251"/>
    </row>
    <row r="51" spans="1:31" x14ac:dyDescent="0.2">
      <c r="A51" s="252" t="s">
        <v>267</v>
      </c>
      <c r="B51" s="243">
        <v>1</v>
      </c>
      <c r="C51" s="243">
        <v>2</v>
      </c>
      <c r="D51" s="243">
        <v>3</v>
      </c>
      <c r="E51" s="243">
        <v>4</v>
      </c>
      <c r="F51" s="243">
        <v>5</v>
      </c>
      <c r="G51" s="243">
        <v>6</v>
      </c>
      <c r="H51" s="243">
        <v>7</v>
      </c>
      <c r="I51" s="243">
        <v>8</v>
      </c>
      <c r="J51" s="243">
        <v>9</v>
      </c>
      <c r="K51" s="243">
        <v>10</v>
      </c>
      <c r="L51" s="243">
        <v>11</v>
      </c>
      <c r="M51" s="243">
        <v>12</v>
      </c>
      <c r="N51" s="243">
        <v>13</v>
      </c>
      <c r="O51" s="243">
        <v>14</v>
      </c>
      <c r="P51" s="243">
        <v>15</v>
      </c>
      <c r="Q51" s="243">
        <v>16</v>
      </c>
      <c r="R51" s="243">
        <v>17</v>
      </c>
      <c r="S51" s="243">
        <v>18</v>
      </c>
      <c r="T51" s="243">
        <v>19</v>
      </c>
      <c r="U51" s="243">
        <v>20</v>
      </c>
      <c r="V51" s="243">
        <v>21</v>
      </c>
      <c r="W51" s="243">
        <v>22</v>
      </c>
      <c r="X51" s="243">
        <v>23</v>
      </c>
      <c r="Y51" s="243">
        <v>24</v>
      </c>
      <c r="Z51" s="243">
        <v>25</v>
      </c>
      <c r="AA51" s="243">
        <v>26</v>
      </c>
      <c r="AB51" s="243">
        <v>27</v>
      </c>
      <c r="AC51" s="243">
        <v>28</v>
      </c>
      <c r="AD51" s="243">
        <v>29</v>
      </c>
      <c r="AE51" s="243">
        <v>30</v>
      </c>
    </row>
    <row r="52" spans="1:31" x14ac:dyDescent="0.2">
      <c r="A52" s="245" t="s">
        <v>266</v>
      </c>
      <c r="B52" s="253">
        <v>0</v>
      </c>
      <c r="C52" s="253">
        <v>0</v>
      </c>
      <c r="D52" s="253">
        <v>0</v>
      </c>
      <c r="E52" s="253">
        <v>0</v>
      </c>
      <c r="F52" s="253">
        <v>0</v>
      </c>
      <c r="G52" s="253">
        <v>0</v>
      </c>
      <c r="H52" s="253">
        <v>0</v>
      </c>
      <c r="I52" s="253">
        <v>0</v>
      </c>
      <c r="J52" s="253">
        <v>0</v>
      </c>
      <c r="K52" s="253">
        <v>0</v>
      </c>
      <c r="L52" s="253">
        <v>0</v>
      </c>
      <c r="M52" s="253">
        <v>0</v>
      </c>
      <c r="N52" s="253">
        <v>0</v>
      </c>
      <c r="O52" s="253">
        <v>0</v>
      </c>
      <c r="P52" s="253">
        <v>0</v>
      </c>
      <c r="Q52" s="253">
        <v>0</v>
      </c>
      <c r="R52" s="253">
        <v>0</v>
      </c>
      <c r="S52" s="253">
        <v>0</v>
      </c>
      <c r="T52" s="253">
        <v>0</v>
      </c>
      <c r="U52" s="253">
        <v>0</v>
      </c>
      <c r="V52" s="253">
        <v>0</v>
      </c>
      <c r="W52" s="253">
        <v>0</v>
      </c>
      <c r="X52" s="253">
        <v>0</v>
      </c>
      <c r="Y52" s="253">
        <v>0</v>
      </c>
      <c r="Z52" s="253">
        <v>0</v>
      </c>
      <c r="AA52" s="253">
        <v>0</v>
      </c>
      <c r="AB52" s="253">
        <v>0</v>
      </c>
      <c r="AC52" s="254">
        <v>0</v>
      </c>
      <c r="AD52" s="254">
        <v>0</v>
      </c>
      <c r="AE52" s="254">
        <v>0</v>
      </c>
    </row>
    <row r="53" spans="1:31" x14ac:dyDescent="0.2">
      <c r="A53" s="245" t="s">
        <v>265</v>
      </c>
      <c r="B53" s="253">
        <v>0</v>
      </c>
      <c r="C53" s="253">
        <v>0</v>
      </c>
      <c r="D53" s="253">
        <v>0</v>
      </c>
      <c r="E53" s="253">
        <v>0</v>
      </c>
      <c r="F53" s="253">
        <v>0</v>
      </c>
      <c r="G53" s="253">
        <v>0</v>
      </c>
      <c r="H53" s="253">
        <v>0</v>
      </c>
      <c r="I53" s="253">
        <v>0</v>
      </c>
      <c r="J53" s="253">
        <v>0</v>
      </c>
      <c r="K53" s="253">
        <v>0</v>
      </c>
      <c r="L53" s="253">
        <v>0</v>
      </c>
      <c r="M53" s="253">
        <v>0</v>
      </c>
      <c r="N53" s="253">
        <v>0</v>
      </c>
      <c r="O53" s="253">
        <v>0</v>
      </c>
      <c r="P53" s="253">
        <v>0</v>
      </c>
      <c r="Q53" s="253">
        <v>0</v>
      </c>
      <c r="R53" s="253">
        <v>0</v>
      </c>
      <c r="S53" s="253">
        <v>0</v>
      </c>
      <c r="T53" s="253">
        <v>0</v>
      </c>
      <c r="U53" s="253">
        <v>0</v>
      </c>
      <c r="V53" s="253">
        <v>0</v>
      </c>
      <c r="W53" s="253">
        <v>0</v>
      </c>
      <c r="X53" s="253">
        <v>0</v>
      </c>
      <c r="Y53" s="253">
        <v>0</v>
      </c>
      <c r="Z53" s="253">
        <v>0</v>
      </c>
      <c r="AA53" s="253">
        <v>0</v>
      </c>
      <c r="AB53" s="253">
        <v>0</v>
      </c>
      <c r="AC53" s="254">
        <v>0</v>
      </c>
      <c r="AD53" s="254">
        <v>0</v>
      </c>
      <c r="AE53" s="254">
        <v>0</v>
      </c>
    </row>
    <row r="54" spans="1:31" x14ac:dyDescent="0.2">
      <c r="A54" s="245" t="s">
        <v>264</v>
      </c>
      <c r="B54" s="253">
        <v>0</v>
      </c>
      <c r="C54" s="253">
        <v>0</v>
      </c>
      <c r="D54" s="253">
        <v>0</v>
      </c>
      <c r="E54" s="253">
        <v>0</v>
      </c>
      <c r="F54" s="253">
        <v>0</v>
      </c>
      <c r="G54" s="253">
        <v>0</v>
      </c>
      <c r="H54" s="253">
        <v>0</v>
      </c>
      <c r="I54" s="253">
        <v>0</v>
      </c>
      <c r="J54" s="253">
        <v>0</v>
      </c>
      <c r="K54" s="253">
        <v>0</v>
      </c>
      <c r="L54" s="253">
        <v>0</v>
      </c>
      <c r="M54" s="253">
        <v>0</v>
      </c>
      <c r="N54" s="253">
        <v>0</v>
      </c>
      <c r="O54" s="253">
        <v>0</v>
      </c>
      <c r="P54" s="253">
        <v>0</v>
      </c>
      <c r="Q54" s="253">
        <v>0</v>
      </c>
      <c r="R54" s="253">
        <v>0</v>
      </c>
      <c r="S54" s="253">
        <v>0</v>
      </c>
      <c r="T54" s="253">
        <v>0</v>
      </c>
      <c r="U54" s="253">
        <v>0</v>
      </c>
      <c r="V54" s="253">
        <v>0</v>
      </c>
      <c r="W54" s="253">
        <v>0</v>
      </c>
      <c r="X54" s="253">
        <v>0</v>
      </c>
      <c r="Y54" s="253">
        <v>0</v>
      </c>
      <c r="Z54" s="253">
        <v>0</v>
      </c>
      <c r="AA54" s="253">
        <v>0</v>
      </c>
      <c r="AB54" s="253">
        <v>0</v>
      </c>
      <c r="AC54" s="254">
        <v>0</v>
      </c>
      <c r="AD54" s="254">
        <v>0</v>
      </c>
      <c r="AE54" s="254">
        <v>0</v>
      </c>
    </row>
    <row r="55" spans="1:31" ht="13.5" thickBot="1" x14ac:dyDescent="0.25">
      <c r="A55" s="248" t="s">
        <v>263</v>
      </c>
      <c r="B55" s="255">
        <v>0</v>
      </c>
      <c r="C55" s="255">
        <v>0</v>
      </c>
      <c r="D55" s="255">
        <v>0</v>
      </c>
      <c r="E55" s="255">
        <v>0</v>
      </c>
      <c r="F55" s="255">
        <v>0</v>
      </c>
      <c r="G55" s="255">
        <v>0</v>
      </c>
      <c r="H55" s="255">
        <v>0</v>
      </c>
      <c r="I55" s="255">
        <v>0</v>
      </c>
      <c r="J55" s="255">
        <v>0</v>
      </c>
      <c r="K55" s="255">
        <v>0</v>
      </c>
      <c r="L55" s="255">
        <v>0</v>
      </c>
      <c r="M55" s="255">
        <v>0</v>
      </c>
      <c r="N55" s="255">
        <v>0</v>
      </c>
      <c r="O55" s="255">
        <v>0</v>
      </c>
      <c r="P55" s="255">
        <v>0</v>
      </c>
      <c r="Q55" s="255">
        <v>0</v>
      </c>
      <c r="R55" s="255">
        <v>0</v>
      </c>
      <c r="S55" s="255">
        <v>0</v>
      </c>
      <c r="T55" s="255">
        <v>0</v>
      </c>
      <c r="U55" s="255">
        <v>0</v>
      </c>
      <c r="V55" s="255">
        <v>0</v>
      </c>
      <c r="W55" s="255">
        <v>0</v>
      </c>
      <c r="X55" s="255">
        <v>0</v>
      </c>
      <c r="Y55" s="255">
        <v>0</v>
      </c>
      <c r="Z55" s="255">
        <v>0</v>
      </c>
      <c r="AA55" s="255">
        <v>0</v>
      </c>
      <c r="AB55" s="255">
        <v>0</v>
      </c>
      <c r="AC55" s="256">
        <v>0</v>
      </c>
      <c r="AD55" s="256">
        <v>0</v>
      </c>
      <c r="AE55" s="256">
        <v>0</v>
      </c>
    </row>
    <row r="56" spans="1:31" ht="13.5" thickBot="1" x14ac:dyDescent="0.25">
      <c r="A56" s="250"/>
      <c r="B56" s="257"/>
      <c r="C56" s="257"/>
      <c r="D56" s="257"/>
      <c r="E56" s="257"/>
      <c r="F56" s="257"/>
      <c r="G56" s="257"/>
      <c r="H56" s="257"/>
      <c r="I56" s="257"/>
      <c r="J56" s="257"/>
      <c r="K56" s="257"/>
      <c r="L56" s="257"/>
      <c r="M56" s="257"/>
      <c r="N56" s="257"/>
      <c r="O56" s="257"/>
      <c r="P56" s="257"/>
      <c r="Q56" s="257"/>
      <c r="R56" s="257"/>
      <c r="S56" s="257"/>
      <c r="T56" s="257"/>
      <c r="U56" s="257"/>
      <c r="V56" s="257"/>
      <c r="W56" s="257"/>
      <c r="X56" s="257"/>
      <c r="Y56" s="257"/>
      <c r="Z56" s="257"/>
      <c r="AA56" s="257"/>
      <c r="AB56" s="257"/>
      <c r="AC56" s="258"/>
      <c r="AD56" s="258"/>
      <c r="AE56" s="258"/>
    </row>
    <row r="57" spans="1:31" ht="13.5" thickBot="1" x14ac:dyDescent="0.25">
      <c r="A57" s="252" t="s">
        <v>431</v>
      </c>
      <c r="B57" s="243">
        <v>1</v>
      </c>
      <c r="C57" s="243">
        <v>2</v>
      </c>
      <c r="D57" s="243">
        <v>3</v>
      </c>
      <c r="E57" s="243">
        <v>4</v>
      </c>
      <c r="F57" s="243">
        <v>5</v>
      </c>
      <c r="G57" s="243">
        <v>6</v>
      </c>
      <c r="H57" s="243">
        <v>7</v>
      </c>
      <c r="I57" s="243">
        <v>8</v>
      </c>
      <c r="J57" s="243">
        <v>9</v>
      </c>
      <c r="K57" s="243">
        <v>10</v>
      </c>
      <c r="L57" s="243">
        <v>11</v>
      </c>
      <c r="M57" s="243">
        <v>12</v>
      </c>
      <c r="N57" s="243">
        <v>13</v>
      </c>
      <c r="O57" s="243">
        <v>14</v>
      </c>
      <c r="P57" s="243">
        <v>15</v>
      </c>
      <c r="Q57" s="243">
        <v>16</v>
      </c>
      <c r="R57" s="243">
        <v>17</v>
      </c>
      <c r="S57" s="243">
        <v>18</v>
      </c>
      <c r="T57" s="243">
        <v>19</v>
      </c>
      <c r="U57" s="243">
        <v>20</v>
      </c>
      <c r="V57" s="243">
        <v>21</v>
      </c>
      <c r="W57" s="243">
        <v>22</v>
      </c>
      <c r="X57" s="243">
        <v>23</v>
      </c>
      <c r="Y57" s="243">
        <v>24</v>
      </c>
      <c r="Z57" s="243">
        <v>25</v>
      </c>
      <c r="AA57" s="243">
        <v>26</v>
      </c>
      <c r="AB57" s="243">
        <v>27</v>
      </c>
      <c r="AC57" s="243">
        <v>28</v>
      </c>
      <c r="AD57" s="243">
        <v>29</v>
      </c>
      <c r="AE57" s="243">
        <v>30</v>
      </c>
    </row>
    <row r="58" spans="1:31" x14ac:dyDescent="0.2">
      <c r="A58" s="252" t="s">
        <v>262</v>
      </c>
      <c r="B58" s="243">
        <f t="shared" ref="B58:AE58" si="1">B49*$B$27</f>
        <v>0</v>
      </c>
      <c r="C58" s="243">
        <f t="shared" si="1"/>
        <v>0</v>
      </c>
      <c r="D58" s="243">
        <f t="shared" si="1"/>
        <v>0</v>
      </c>
      <c r="E58" s="243">
        <f t="shared" si="1"/>
        <v>0</v>
      </c>
      <c r="F58" s="243">
        <f t="shared" si="1"/>
        <v>0</v>
      </c>
      <c r="G58" s="243">
        <f t="shared" si="1"/>
        <v>0</v>
      </c>
      <c r="H58" s="243">
        <f t="shared" si="1"/>
        <v>0</v>
      </c>
      <c r="I58" s="243">
        <f t="shared" si="1"/>
        <v>0</v>
      </c>
      <c r="J58" s="243">
        <f t="shared" si="1"/>
        <v>0</v>
      </c>
      <c r="K58" s="243">
        <f t="shared" si="1"/>
        <v>0</v>
      </c>
      <c r="L58" s="243">
        <f t="shared" si="1"/>
        <v>0</v>
      </c>
      <c r="M58" s="243">
        <f t="shared" si="1"/>
        <v>0</v>
      </c>
      <c r="N58" s="243">
        <f t="shared" si="1"/>
        <v>0</v>
      </c>
      <c r="O58" s="243">
        <f t="shared" si="1"/>
        <v>0</v>
      </c>
      <c r="P58" s="243">
        <f t="shared" si="1"/>
        <v>0</v>
      </c>
      <c r="Q58" s="243">
        <f t="shared" si="1"/>
        <v>0</v>
      </c>
      <c r="R58" s="243">
        <f t="shared" si="1"/>
        <v>0</v>
      </c>
      <c r="S58" s="243">
        <f t="shared" si="1"/>
        <v>0</v>
      </c>
      <c r="T58" s="243">
        <f t="shared" si="1"/>
        <v>0</v>
      </c>
      <c r="U58" s="243">
        <f t="shared" si="1"/>
        <v>0</v>
      </c>
      <c r="V58" s="243">
        <f t="shared" si="1"/>
        <v>0</v>
      </c>
      <c r="W58" s="243">
        <f t="shared" si="1"/>
        <v>0</v>
      </c>
      <c r="X58" s="243">
        <f t="shared" si="1"/>
        <v>0</v>
      </c>
      <c r="Y58" s="243">
        <f t="shared" si="1"/>
        <v>0</v>
      </c>
      <c r="Z58" s="243">
        <f t="shared" si="1"/>
        <v>0</v>
      </c>
      <c r="AA58" s="243">
        <f t="shared" si="1"/>
        <v>0</v>
      </c>
      <c r="AB58" s="243">
        <f t="shared" si="1"/>
        <v>0</v>
      </c>
      <c r="AC58" s="243">
        <f t="shared" si="1"/>
        <v>0</v>
      </c>
      <c r="AD58" s="243">
        <f t="shared" si="1"/>
        <v>0</v>
      </c>
      <c r="AE58" s="243">
        <f t="shared" si="1"/>
        <v>0</v>
      </c>
    </row>
    <row r="59" spans="1:31" x14ac:dyDescent="0.2">
      <c r="A59" s="245" t="s">
        <v>261</v>
      </c>
      <c r="B59" s="259">
        <f t="shared" ref="B59:AE59" si="2">SUM(B60:B65)</f>
        <v>0</v>
      </c>
      <c r="C59" s="259">
        <f t="shared" si="2"/>
        <v>0</v>
      </c>
      <c r="D59" s="259">
        <f t="shared" si="2"/>
        <v>-496010.39064091526</v>
      </c>
      <c r="E59" s="259">
        <f t="shared" si="2"/>
        <v>-478906.58406709059</v>
      </c>
      <c r="F59" s="259">
        <f t="shared" si="2"/>
        <v>-461802.77749326592</v>
      </c>
      <c r="G59" s="259">
        <f t="shared" si="2"/>
        <v>-444698.97091944126</v>
      </c>
      <c r="H59" s="259">
        <f t="shared" si="2"/>
        <v>-427595.16434561659</v>
      </c>
      <c r="I59" s="259">
        <f t="shared" si="2"/>
        <v>-433814.7303724619</v>
      </c>
      <c r="J59" s="259">
        <f t="shared" si="2"/>
        <v>-393387.55119796726</v>
      </c>
      <c r="K59" s="259">
        <f t="shared" si="2"/>
        <v>-1215925.1582482625</v>
      </c>
      <c r="L59" s="259">
        <f t="shared" si="2"/>
        <v>-359179.93805031787</v>
      </c>
      <c r="M59" s="259">
        <f t="shared" si="2"/>
        <v>-342076.1314764932</v>
      </c>
      <c r="N59" s="259">
        <f t="shared" si="2"/>
        <v>-701256.06952681136</v>
      </c>
      <c r="O59" s="259">
        <f t="shared" si="2"/>
        <v>-331191.89092951384</v>
      </c>
      <c r="P59" s="259">
        <f t="shared" si="2"/>
        <v>-290764.71175501921</v>
      </c>
      <c r="Q59" s="259">
        <f t="shared" si="2"/>
        <v>-273660.90518119454</v>
      </c>
      <c r="R59" s="259">
        <f t="shared" si="2"/>
        <v>-256557.09860736984</v>
      </c>
      <c r="S59" s="259">
        <f t="shared" si="2"/>
        <v>-1079094.7056576649</v>
      </c>
      <c r="T59" s="259">
        <f t="shared" si="2"/>
        <v>-222349.48545972051</v>
      </c>
      <c r="U59" s="259">
        <f t="shared" si="2"/>
        <v>-228569.05148656582</v>
      </c>
      <c r="V59" s="259">
        <f t="shared" si="2"/>
        <v>-188141.87231207115</v>
      </c>
      <c r="W59" s="259">
        <f t="shared" si="2"/>
        <v>-171038.06573824649</v>
      </c>
      <c r="X59" s="259">
        <f t="shared" si="2"/>
        <v>-153934.25916442182</v>
      </c>
      <c r="Y59" s="259">
        <f t="shared" si="2"/>
        <v>-136830.45259059712</v>
      </c>
      <c r="Z59" s="259">
        <f t="shared" si="2"/>
        <v>-119726.64601677246</v>
      </c>
      <c r="AA59" s="259">
        <f t="shared" si="2"/>
        <v>-942264.25306706759</v>
      </c>
      <c r="AB59" s="259">
        <f t="shared" si="2"/>
        <v>-85519.032869123126</v>
      </c>
      <c r="AC59" s="259">
        <f t="shared" si="2"/>
        <v>-68415.22629529846</v>
      </c>
      <c r="AD59" s="259">
        <f t="shared" si="2"/>
        <v>-51311.419721473801</v>
      </c>
      <c r="AE59" s="259">
        <f t="shared" si="2"/>
        <v>-34207.613147649143</v>
      </c>
    </row>
    <row r="60" spans="1:31" x14ac:dyDescent="0.2">
      <c r="A60" s="260" t="s">
        <v>260</v>
      </c>
      <c r="B60" s="253"/>
      <c r="C60" s="253"/>
      <c r="D60" s="253"/>
      <c r="E60" s="253"/>
      <c r="F60" s="253"/>
      <c r="G60" s="253"/>
      <c r="H60" s="253"/>
      <c r="I60" s="281">
        <f>-B28</f>
        <v>-23323.372600669998</v>
      </c>
      <c r="J60" s="253"/>
      <c r="K60" s="253"/>
      <c r="L60" s="253"/>
      <c r="M60" s="253"/>
      <c r="N60" s="253"/>
      <c r="O60" s="253">
        <f>I60</f>
        <v>-23323.372600669998</v>
      </c>
      <c r="P60" s="253"/>
      <c r="Q60" s="253"/>
      <c r="R60" s="253"/>
      <c r="S60" s="253"/>
      <c r="T60" s="253"/>
      <c r="U60" s="253">
        <f>O60</f>
        <v>-23323.372600669998</v>
      </c>
      <c r="V60" s="253"/>
      <c r="W60" s="253"/>
      <c r="X60" s="253"/>
      <c r="Y60" s="253"/>
      <c r="Z60" s="253"/>
      <c r="AA60" s="253"/>
      <c r="AB60" s="253"/>
      <c r="AC60" s="253"/>
      <c r="AD60" s="253"/>
      <c r="AE60" s="253"/>
    </row>
    <row r="61" spans="1:31" x14ac:dyDescent="0.2">
      <c r="A61" s="260" t="s">
        <v>259</v>
      </c>
      <c r="B61" s="253"/>
      <c r="C61" s="253"/>
      <c r="D61" s="253"/>
      <c r="E61" s="253"/>
      <c r="F61" s="253"/>
      <c r="G61" s="253"/>
      <c r="H61" s="253"/>
      <c r="I61" s="253"/>
      <c r="J61" s="253"/>
      <c r="K61" s="253">
        <f>-B34*1.2</f>
        <v>-839641.41362411983</v>
      </c>
      <c r="L61" s="253"/>
      <c r="M61" s="253"/>
      <c r="N61" s="253"/>
      <c r="O61" s="253"/>
      <c r="P61" s="253"/>
      <c r="Q61" s="253"/>
      <c r="R61" s="253"/>
      <c r="S61" s="253">
        <f>K61</f>
        <v>-839641.41362411983</v>
      </c>
      <c r="T61" s="253"/>
      <c r="U61" s="253"/>
      <c r="V61" s="253"/>
      <c r="W61" s="253"/>
      <c r="X61" s="253"/>
      <c r="Y61" s="253"/>
      <c r="Z61" s="253"/>
      <c r="AA61" s="261">
        <f>S61</f>
        <v>-839641.41362411983</v>
      </c>
      <c r="AB61" s="253"/>
      <c r="AC61" s="253"/>
      <c r="AD61" s="253"/>
      <c r="AE61" s="253"/>
    </row>
    <row r="62" spans="1:31" x14ac:dyDescent="0.2">
      <c r="A62" s="260" t="s">
        <v>575</v>
      </c>
      <c r="B62" s="253"/>
      <c r="C62" s="253"/>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3"/>
      <c r="AE62" s="253"/>
    </row>
    <row r="63" spans="1:31" x14ac:dyDescent="0.2">
      <c r="A63" s="260" t="s">
        <v>428</v>
      </c>
      <c r="B63" s="262">
        <v>0</v>
      </c>
      <c r="C63" s="262">
        <v>0</v>
      </c>
      <c r="D63" s="262">
        <v>0</v>
      </c>
      <c r="E63" s="262">
        <v>0</v>
      </c>
      <c r="F63" s="262">
        <v>0</v>
      </c>
      <c r="G63" s="262">
        <v>0</v>
      </c>
      <c r="H63" s="262">
        <v>0</v>
      </c>
      <c r="I63" s="262">
        <v>0</v>
      </c>
      <c r="J63" s="262">
        <v>0</v>
      </c>
      <c r="K63" s="262">
        <v>0</v>
      </c>
      <c r="L63" s="262">
        <v>0</v>
      </c>
      <c r="M63" s="262">
        <v>0</v>
      </c>
      <c r="N63" s="262">
        <v>0</v>
      </c>
      <c r="O63" s="262">
        <v>0</v>
      </c>
      <c r="P63" s="262">
        <v>0</v>
      </c>
      <c r="Q63" s="262">
        <v>0</v>
      </c>
      <c r="R63" s="262">
        <v>0</v>
      </c>
      <c r="S63" s="262">
        <v>0</v>
      </c>
      <c r="T63" s="262">
        <v>0</v>
      </c>
      <c r="U63" s="262">
        <v>0</v>
      </c>
      <c r="V63" s="262">
        <v>0</v>
      </c>
      <c r="W63" s="262">
        <v>0</v>
      </c>
      <c r="X63" s="262">
        <v>0</v>
      </c>
      <c r="Y63" s="262">
        <v>0</v>
      </c>
      <c r="Z63" s="262">
        <v>0</v>
      </c>
      <c r="AA63" s="262">
        <v>0</v>
      </c>
      <c r="AB63" s="262">
        <v>0</v>
      </c>
      <c r="AC63" s="262">
        <v>0</v>
      </c>
      <c r="AD63" s="262">
        <v>0</v>
      </c>
      <c r="AE63" s="262">
        <v>0</v>
      </c>
    </row>
    <row r="64" spans="1:31" x14ac:dyDescent="0.2">
      <c r="A64" s="260" t="s">
        <v>428</v>
      </c>
      <c r="B64" s="262">
        <v>0</v>
      </c>
      <c r="C64" s="262">
        <v>0</v>
      </c>
      <c r="D64" s="262">
        <v>0</v>
      </c>
      <c r="E64" s="262">
        <v>0</v>
      </c>
      <c r="F64" s="262">
        <v>0</v>
      </c>
      <c r="G64" s="262">
        <v>0</v>
      </c>
      <c r="H64" s="262">
        <v>0</v>
      </c>
      <c r="I64" s="262">
        <v>0</v>
      </c>
      <c r="J64" s="262">
        <v>0</v>
      </c>
      <c r="K64" s="262">
        <v>0</v>
      </c>
      <c r="L64" s="262">
        <v>0</v>
      </c>
      <c r="M64" s="262">
        <v>0</v>
      </c>
      <c r="N64" s="262">
        <v>0</v>
      </c>
      <c r="O64" s="262">
        <v>0</v>
      </c>
      <c r="P64" s="262">
        <v>0</v>
      </c>
      <c r="Q64" s="262">
        <v>0</v>
      </c>
      <c r="R64" s="262">
        <v>0</v>
      </c>
      <c r="S64" s="262">
        <v>0</v>
      </c>
      <c r="T64" s="262">
        <v>0</v>
      </c>
      <c r="U64" s="262">
        <v>0</v>
      </c>
      <c r="V64" s="262">
        <v>0</v>
      </c>
      <c r="W64" s="262">
        <v>0</v>
      </c>
      <c r="X64" s="262">
        <v>0</v>
      </c>
      <c r="Y64" s="262">
        <v>0</v>
      </c>
      <c r="Z64" s="262">
        <v>0</v>
      </c>
      <c r="AA64" s="262">
        <v>0</v>
      </c>
      <c r="AB64" s="262">
        <v>0</v>
      </c>
      <c r="AC64" s="262">
        <v>0</v>
      </c>
      <c r="AD64" s="262">
        <v>0</v>
      </c>
      <c r="AE64" s="262">
        <v>0</v>
      </c>
    </row>
    <row r="65" spans="1:31" x14ac:dyDescent="0.2">
      <c r="A65" s="260" t="s">
        <v>577</v>
      </c>
      <c r="B65" s="262">
        <v>0</v>
      </c>
      <c r="C65" s="262">
        <v>0</v>
      </c>
      <c r="D65" s="262">
        <f>-($B$24+D67)*0.022</f>
        <v>-496010.39064091526</v>
      </c>
      <c r="E65" s="262">
        <f>-($B$24+E67+D67)*0.022</f>
        <v>-478906.58406709059</v>
      </c>
      <c r="F65" s="266">
        <f>-($B$24+F67+D67+E67)*0.022</f>
        <v>-461802.77749326592</v>
      </c>
      <c r="G65" s="266">
        <f>-($B$24+G67+E67+F67+D67)*0.022</f>
        <v>-444698.97091944126</v>
      </c>
      <c r="H65" s="266">
        <f>-($B$24+H67+F67+G67+E67+D67)*0.022</f>
        <v>-427595.16434561659</v>
      </c>
      <c r="I65" s="266">
        <f>-($B$24+I67+G67+H67+F67+D67+E67)*0.022</f>
        <v>-410491.35777179193</v>
      </c>
      <c r="J65" s="266">
        <f>-($B$24+D67+J67+H67+I67+G67+E67+F67)*0.022</f>
        <v>-393387.55119796726</v>
      </c>
      <c r="K65" s="266">
        <f>-($B$24+E67+K67+I67+J67+H67+F67+G67+D67)*0.022</f>
        <v>-376283.74462414254</v>
      </c>
      <c r="L65" s="266">
        <f>-($B$24+F67+L67+J67+K67+I67+G67+H67+D67+E67)*0.022</f>
        <v>-359179.93805031787</v>
      </c>
      <c r="M65" s="266">
        <f>-($B$24+G67+M67+K67+L67+J67+H67+I67+F67+E67+D67)*0.022</f>
        <v>-342076.1314764932</v>
      </c>
      <c r="N65" s="266">
        <f>(-$B$24+H67+N67+L67+M67+K67+I67+J67+G67+F67+E67+D67)*0.022</f>
        <v>-701256.06952681136</v>
      </c>
      <c r="O65" s="266">
        <f>-($B$24+I67+O67+M67+N67+L67+J67+K67+H67+G67+F67+D67+E67)*0.022</f>
        <v>-307868.51832884387</v>
      </c>
      <c r="P65" s="266">
        <f>-($B$24+J67+P67+N67+O67+M67+K67+L67+I67+H67+G67+E67+D67+F67)*0.022</f>
        <v>-290764.71175501921</v>
      </c>
      <c r="Q65" s="266">
        <f>-($B$24+K67+Q67+O67+P67+N67+L67+M67+J67+I67+H67+F67+G67+D67+E67)*0.022</f>
        <v>-273660.90518119454</v>
      </c>
      <c r="R65" s="266">
        <f>-($B$24+L67+R67+P67+Q67+O67+M67+N67+K67+J67+I67+G67+H67+E67+D67+F67)*0.022</f>
        <v>-256557.09860736984</v>
      </c>
      <c r="S65" s="266">
        <f>-($B$24+M67+S67+Q67+R67+P67+N67+O67+L67+K67+J67+H67+I67+F67+E67+D67+G67)*0.022</f>
        <v>-239453.29203354518</v>
      </c>
      <c r="T65" s="266">
        <f>-($B$24+N67+T67+R67+S67+Q67+O67+P67+M67+L67+K67+I67+J67+G67+F67+E67+D67+H67)*0.022</f>
        <v>-222349.48545972051</v>
      </c>
      <c r="U65" s="266">
        <f>-($B$24+O67+U67+S67+T67+R67+P67+Q67+N67+M67+L67+J67+K67+H67+G67+F67+E67+D67+I67)*0.022</f>
        <v>-205245.67888589582</v>
      </c>
      <c r="V65" s="266">
        <f>-($B$24+P67+V67+T67+U67+S67+Q67+R67+O67+N67+M67+K67+L67+I67+H67+G67+F67+D67+E67++J67)*0.022</f>
        <v>-188141.87231207115</v>
      </c>
      <c r="W65" s="266">
        <f>-($B$24+Q67+W67+U67+V67+T67+R67+S67+P67+O67+N67+L67+M67+J67+I67+H67+G67+E67+F67+D67+K67)*0.022</f>
        <v>-171038.06573824649</v>
      </c>
      <c r="X65" s="266">
        <f>-($B$24+R67+X67+V67+W67+U67+S67+T67+Q67+P67+O67+M67+N67+K67+J67+I67+H67+F67+G67+E67+D67+L67)*0.022</f>
        <v>-153934.25916442182</v>
      </c>
      <c r="Y65" s="266">
        <f>-($B$24+S67+Y67+W67+X67+V67+T67+U67+R67+Q67+P67+N67+O67+L67+K67+J67+I67+G67+H67+F67+E67+D67+M67)*0.022</f>
        <v>-136830.45259059712</v>
      </c>
      <c r="Z65" s="266">
        <f>-($B$24+T67+Z67+X67+Y67+W67+U67+V67+S67+R67+Q67+O67+P67+M67+L67+K67+J67+H67+I67+G67+F67+E67+D67+N67)*0.022</f>
        <v>-119726.64601677246</v>
      </c>
      <c r="AA65" s="266">
        <f>-($B$24+U67+AA67+Y67+Z67+X67+V67+W67+T67+S67+R67+P67+Q67+N67+M67+L67+K67+I67+J67+H67+G67+F67+E67+D67+O67)*0.022</f>
        <v>-102622.83944294779</v>
      </c>
      <c r="AB65" s="266">
        <f>-($B$24+V67+AB67+Z67+AA67+Y67+W67+X67+U67+T67+S67+Q67+R67+O67+N67+M67+L67+J67+K67+I67+H67+G67+F67+E67+D67+P67)*0.022</f>
        <v>-85519.032869123126</v>
      </c>
      <c r="AC65" s="266">
        <f>-($B$24+W67+AC67+AA67+AB67+Z67+X67+Y67+V67+U67+T67+R67+S67+P67+O67+N67+M67+K67+L67+J67+I67+H67+G67+F67+E67+D67+Q67)*0.022</f>
        <v>-68415.22629529846</v>
      </c>
      <c r="AD65" s="266">
        <f>-($B$24+X67+AD67+AB67+AC67+AA67+Y67+Z67+W67+V67+U67+S67+T67+Q67+P67+O67+N67+L67+M67+K67+J67+I67+H67+G67+F67+E67+D67++R67)*0.022</f>
        <v>-51311.419721473801</v>
      </c>
      <c r="AE65" s="266">
        <f>-($B$24+Y67+AE67+AC67+AD67+AB67+Z67+AA67+X67+W67+V67+T67+U67+R67+Q67+P67+O67+M67+N67+L67+K67+J67+I67+H67+G67+F67+E67+D67+S67)*0.022</f>
        <v>-34207.613147649143</v>
      </c>
    </row>
    <row r="66" spans="1:31" x14ac:dyDescent="0.2">
      <c r="A66" s="263" t="s">
        <v>578</v>
      </c>
      <c r="B66" s="264">
        <f t="shared" ref="B66:AE66" si="3">B58+B59</f>
        <v>0</v>
      </c>
      <c r="C66" s="264">
        <f t="shared" si="3"/>
        <v>0</v>
      </c>
      <c r="D66" s="264">
        <f t="shared" si="3"/>
        <v>-496010.39064091526</v>
      </c>
      <c r="E66" s="264">
        <f t="shared" si="3"/>
        <v>-478906.58406709059</v>
      </c>
      <c r="F66" s="264">
        <f t="shared" si="3"/>
        <v>-461802.77749326592</v>
      </c>
      <c r="G66" s="264">
        <f t="shared" si="3"/>
        <v>-444698.97091944126</v>
      </c>
      <c r="H66" s="264">
        <f t="shared" si="3"/>
        <v>-427595.16434561659</v>
      </c>
      <c r="I66" s="264">
        <f t="shared" si="3"/>
        <v>-433814.7303724619</v>
      </c>
      <c r="J66" s="264">
        <f t="shared" si="3"/>
        <v>-393387.55119796726</v>
      </c>
      <c r="K66" s="264">
        <f t="shared" si="3"/>
        <v>-1215925.1582482625</v>
      </c>
      <c r="L66" s="264">
        <f t="shared" si="3"/>
        <v>-359179.93805031787</v>
      </c>
      <c r="M66" s="264">
        <f t="shared" si="3"/>
        <v>-342076.1314764932</v>
      </c>
      <c r="N66" s="264">
        <f t="shared" si="3"/>
        <v>-701256.06952681136</v>
      </c>
      <c r="O66" s="264">
        <f t="shared" si="3"/>
        <v>-331191.89092951384</v>
      </c>
      <c r="P66" s="264">
        <f t="shared" si="3"/>
        <v>-290764.71175501921</v>
      </c>
      <c r="Q66" s="264">
        <f t="shared" si="3"/>
        <v>-273660.90518119454</v>
      </c>
      <c r="R66" s="264">
        <f t="shared" si="3"/>
        <v>-256557.09860736984</v>
      </c>
      <c r="S66" s="264">
        <f t="shared" si="3"/>
        <v>-1079094.7056576649</v>
      </c>
      <c r="T66" s="264">
        <f t="shared" si="3"/>
        <v>-222349.48545972051</v>
      </c>
      <c r="U66" s="264">
        <f t="shared" si="3"/>
        <v>-228569.05148656582</v>
      </c>
      <c r="V66" s="264">
        <f t="shared" si="3"/>
        <v>-188141.87231207115</v>
      </c>
      <c r="W66" s="264">
        <f t="shared" si="3"/>
        <v>-171038.06573824649</v>
      </c>
      <c r="X66" s="264">
        <f t="shared" si="3"/>
        <v>-153934.25916442182</v>
      </c>
      <c r="Y66" s="264">
        <f t="shared" si="3"/>
        <v>-136830.45259059712</v>
      </c>
      <c r="Z66" s="264">
        <f t="shared" si="3"/>
        <v>-119726.64601677246</v>
      </c>
      <c r="AA66" s="264">
        <f t="shared" si="3"/>
        <v>-942264.25306706759</v>
      </c>
      <c r="AB66" s="264">
        <f t="shared" si="3"/>
        <v>-85519.032869123126</v>
      </c>
      <c r="AC66" s="264">
        <f t="shared" si="3"/>
        <v>-68415.22629529846</v>
      </c>
      <c r="AD66" s="264">
        <f t="shared" si="3"/>
        <v>-51311.419721473801</v>
      </c>
      <c r="AE66" s="264">
        <f t="shared" si="3"/>
        <v>-34207.613147649143</v>
      </c>
    </row>
    <row r="67" spans="1:31" x14ac:dyDescent="0.2">
      <c r="A67" s="260" t="s">
        <v>255</v>
      </c>
      <c r="B67" s="265">
        <v>0</v>
      </c>
      <c r="C67" s="266">
        <v>0</v>
      </c>
      <c r="D67" s="265">
        <f>-($B$24)*$B$27/$B$26</f>
        <v>-777445.75335566665</v>
      </c>
      <c r="E67" s="266">
        <f t="shared" ref="E67:AE67" si="4">D67</f>
        <v>-777445.75335566665</v>
      </c>
      <c r="F67" s="266">
        <f t="shared" si="4"/>
        <v>-777445.75335566665</v>
      </c>
      <c r="G67" s="266">
        <f t="shared" si="4"/>
        <v>-777445.75335566665</v>
      </c>
      <c r="H67" s="266">
        <f t="shared" si="4"/>
        <v>-777445.75335566665</v>
      </c>
      <c r="I67" s="266">
        <f t="shared" si="4"/>
        <v>-777445.75335566665</v>
      </c>
      <c r="J67" s="266">
        <f t="shared" si="4"/>
        <v>-777445.75335566665</v>
      </c>
      <c r="K67" s="266">
        <f t="shared" si="4"/>
        <v>-777445.75335566665</v>
      </c>
      <c r="L67" s="266">
        <f t="shared" si="4"/>
        <v>-777445.75335566665</v>
      </c>
      <c r="M67" s="266">
        <f t="shared" si="4"/>
        <v>-777445.75335566665</v>
      </c>
      <c r="N67" s="266">
        <f t="shared" si="4"/>
        <v>-777445.75335566665</v>
      </c>
      <c r="O67" s="266">
        <f t="shared" si="4"/>
        <v>-777445.75335566665</v>
      </c>
      <c r="P67" s="266">
        <f t="shared" si="4"/>
        <v>-777445.75335566665</v>
      </c>
      <c r="Q67" s="266">
        <f t="shared" si="4"/>
        <v>-777445.75335566665</v>
      </c>
      <c r="R67" s="266">
        <f t="shared" si="4"/>
        <v>-777445.75335566665</v>
      </c>
      <c r="S67" s="266">
        <f t="shared" si="4"/>
        <v>-777445.75335566665</v>
      </c>
      <c r="T67" s="266">
        <f t="shared" si="4"/>
        <v>-777445.75335566665</v>
      </c>
      <c r="U67" s="266">
        <f t="shared" si="4"/>
        <v>-777445.75335566665</v>
      </c>
      <c r="V67" s="266">
        <f t="shared" si="4"/>
        <v>-777445.75335566665</v>
      </c>
      <c r="W67" s="266">
        <f t="shared" si="4"/>
        <v>-777445.75335566665</v>
      </c>
      <c r="X67" s="266">
        <f t="shared" si="4"/>
        <v>-777445.75335566665</v>
      </c>
      <c r="Y67" s="266">
        <f t="shared" si="4"/>
        <v>-777445.75335566665</v>
      </c>
      <c r="Z67" s="266">
        <f t="shared" si="4"/>
        <v>-777445.75335566665</v>
      </c>
      <c r="AA67" s="266">
        <f t="shared" si="4"/>
        <v>-777445.75335566665</v>
      </c>
      <c r="AB67" s="266">
        <f t="shared" si="4"/>
        <v>-777445.75335566665</v>
      </c>
      <c r="AC67" s="266">
        <f t="shared" si="4"/>
        <v>-777445.75335566665</v>
      </c>
      <c r="AD67" s="266">
        <f t="shared" si="4"/>
        <v>-777445.75335566665</v>
      </c>
      <c r="AE67" s="266">
        <f t="shared" si="4"/>
        <v>-777445.75335566665</v>
      </c>
    </row>
    <row r="68" spans="1:31" x14ac:dyDescent="0.2">
      <c r="A68" s="263" t="s">
        <v>579</v>
      </c>
      <c r="B68" s="264">
        <f t="shared" ref="B68:AE68" si="5">B66+B67</f>
        <v>0</v>
      </c>
      <c r="C68" s="264">
        <f t="shared" si="5"/>
        <v>0</v>
      </c>
      <c r="D68" s="264">
        <f t="shared" si="5"/>
        <v>-1273456.1439965819</v>
      </c>
      <c r="E68" s="264">
        <f t="shared" si="5"/>
        <v>-1256352.3374227572</v>
      </c>
      <c r="F68" s="264">
        <f t="shared" si="5"/>
        <v>-1239248.5308489325</v>
      </c>
      <c r="G68" s="264">
        <f t="shared" si="5"/>
        <v>-1222144.724275108</v>
      </c>
      <c r="H68" s="264">
        <f t="shared" si="5"/>
        <v>-1205040.9177012832</v>
      </c>
      <c r="I68" s="264">
        <f t="shared" si="5"/>
        <v>-1211260.4837281285</v>
      </c>
      <c r="J68" s="264">
        <f t="shared" si="5"/>
        <v>-1170833.304553634</v>
      </c>
      <c r="K68" s="264">
        <f t="shared" si="5"/>
        <v>-1993370.911603929</v>
      </c>
      <c r="L68" s="264">
        <f t="shared" si="5"/>
        <v>-1136625.6914059846</v>
      </c>
      <c r="M68" s="264">
        <f t="shared" si="5"/>
        <v>-1119521.8848321598</v>
      </c>
      <c r="N68" s="264">
        <f t="shared" si="5"/>
        <v>-1478701.8228824781</v>
      </c>
      <c r="O68" s="264">
        <f t="shared" si="5"/>
        <v>-1108637.6442851806</v>
      </c>
      <c r="P68" s="264">
        <f t="shared" si="5"/>
        <v>-1068210.4651106859</v>
      </c>
      <c r="Q68" s="264">
        <f t="shared" si="5"/>
        <v>-1051106.6585368612</v>
      </c>
      <c r="R68" s="264">
        <f t="shared" si="5"/>
        <v>-1034002.8519630365</v>
      </c>
      <c r="S68" s="264">
        <f t="shared" si="5"/>
        <v>-1856540.4590133317</v>
      </c>
      <c r="T68" s="264">
        <f t="shared" si="5"/>
        <v>-999795.23881538713</v>
      </c>
      <c r="U68" s="264">
        <f t="shared" si="5"/>
        <v>-1006014.8048422325</v>
      </c>
      <c r="V68" s="264">
        <f t="shared" si="5"/>
        <v>-965587.6256677378</v>
      </c>
      <c r="W68" s="264">
        <f t="shared" si="5"/>
        <v>-948483.81909391307</v>
      </c>
      <c r="X68" s="264">
        <f t="shared" si="5"/>
        <v>-931380.01252008846</v>
      </c>
      <c r="Y68" s="264">
        <f t="shared" si="5"/>
        <v>-914276.20594626374</v>
      </c>
      <c r="Z68" s="264">
        <f t="shared" si="5"/>
        <v>-897172.39937243913</v>
      </c>
      <c r="AA68" s="264">
        <f t="shared" si="5"/>
        <v>-1719710.0064227344</v>
      </c>
      <c r="AB68" s="264">
        <f t="shared" si="5"/>
        <v>-862964.7862247898</v>
      </c>
      <c r="AC68" s="264">
        <f t="shared" si="5"/>
        <v>-845860.97965096508</v>
      </c>
      <c r="AD68" s="264">
        <f t="shared" si="5"/>
        <v>-828757.17307714047</v>
      </c>
      <c r="AE68" s="264">
        <f t="shared" si="5"/>
        <v>-811653.36650331574</v>
      </c>
    </row>
    <row r="69" spans="1:31" x14ac:dyDescent="0.2">
      <c r="A69" s="260" t="s">
        <v>254</v>
      </c>
      <c r="B69" s="262">
        <v>0</v>
      </c>
      <c r="C69" s="262">
        <v>0</v>
      </c>
      <c r="D69" s="262">
        <v>0</v>
      </c>
      <c r="E69" s="262">
        <v>0</v>
      </c>
      <c r="F69" s="262">
        <v>0</v>
      </c>
      <c r="G69" s="262">
        <v>0</v>
      </c>
      <c r="H69" s="262">
        <v>0</v>
      </c>
      <c r="I69" s="262">
        <v>0</v>
      </c>
      <c r="J69" s="262">
        <v>0</v>
      </c>
      <c r="K69" s="262">
        <v>0</v>
      </c>
      <c r="L69" s="262">
        <v>0</v>
      </c>
      <c r="M69" s="262">
        <v>0</v>
      </c>
      <c r="N69" s="262">
        <v>0</v>
      </c>
      <c r="O69" s="262">
        <v>0</v>
      </c>
      <c r="P69" s="262">
        <v>0</v>
      </c>
      <c r="Q69" s="262">
        <v>0</v>
      </c>
      <c r="R69" s="262">
        <v>0</v>
      </c>
      <c r="S69" s="262">
        <v>0</v>
      </c>
      <c r="T69" s="262">
        <v>0</v>
      </c>
      <c r="U69" s="262">
        <v>0</v>
      </c>
      <c r="V69" s="262">
        <v>0</v>
      </c>
      <c r="W69" s="262">
        <v>0</v>
      </c>
      <c r="X69" s="262">
        <v>0</v>
      </c>
      <c r="Y69" s="262">
        <v>0</v>
      </c>
      <c r="Z69" s="262">
        <v>0</v>
      </c>
      <c r="AA69" s="262">
        <v>0</v>
      </c>
      <c r="AB69" s="262">
        <v>0</v>
      </c>
      <c r="AC69" s="262">
        <v>0</v>
      </c>
      <c r="AD69" s="262">
        <v>0</v>
      </c>
      <c r="AE69" s="262">
        <v>0</v>
      </c>
    </row>
    <row r="70" spans="1:31" x14ac:dyDescent="0.2">
      <c r="A70" s="263" t="s">
        <v>258</v>
      </c>
      <c r="B70" s="264">
        <f t="shared" ref="B70:AE70" si="6">B68+B69</f>
        <v>0</v>
      </c>
      <c r="C70" s="264">
        <f t="shared" si="6"/>
        <v>0</v>
      </c>
      <c r="D70" s="264">
        <f t="shared" si="6"/>
        <v>-1273456.1439965819</v>
      </c>
      <c r="E70" s="264">
        <f t="shared" si="6"/>
        <v>-1256352.3374227572</v>
      </c>
      <c r="F70" s="264">
        <f t="shared" si="6"/>
        <v>-1239248.5308489325</v>
      </c>
      <c r="G70" s="264">
        <f t="shared" si="6"/>
        <v>-1222144.724275108</v>
      </c>
      <c r="H70" s="264">
        <f t="shared" si="6"/>
        <v>-1205040.9177012832</v>
      </c>
      <c r="I70" s="264">
        <f t="shared" si="6"/>
        <v>-1211260.4837281285</v>
      </c>
      <c r="J70" s="264">
        <f t="shared" si="6"/>
        <v>-1170833.304553634</v>
      </c>
      <c r="K70" s="264">
        <f t="shared" si="6"/>
        <v>-1993370.911603929</v>
      </c>
      <c r="L70" s="264">
        <f t="shared" si="6"/>
        <v>-1136625.6914059846</v>
      </c>
      <c r="M70" s="264">
        <f t="shared" si="6"/>
        <v>-1119521.8848321598</v>
      </c>
      <c r="N70" s="264">
        <f t="shared" si="6"/>
        <v>-1478701.8228824781</v>
      </c>
      <c r="O70" s="264">
        <f t="shared" si="6"/>
        <v>-1108637.6442851806</v>
      </c>
      <c r="P70" s="264">
        <f t="shared" si="6"/>
        <v>-1068210.4651106859</v>
      </c>
      <c r="Q70" s="264">
        <f t="shared" si="6"/>
        <v>-1051106.6585368612</v>
      </c>
      <c r="R70" s="264">
        <f t="shared" si="6"/>
        <v>-1034002.8519630365</v>
      </c>
      <c r="S70" s="264">
        <f t="shared" si="6"/>
        <v>-1856540.4590133317</v>
      </c>
      <c r="T70" s="264">
        <f t="shared" si="6"/>
        <v>-999795.23881538713</v>
      </c>
      <c r="U70" s="264">
        <f t="shared" si="6"/>
        <v>-1006014.8048422325</v>
      </c>
      <c r="V70" s="264">
        <f t="shared" si="6"/>
        <v>-965587.6256677378</v>
      </c>
      <c r="W70" s="264">
        <f t="shared" si="6"/>
        <v>-948483.81909391307</v>
      </c>
      <c r="X70" s="264">
        <f t="shared" si="6"/>
        <v>-931380.01252008846</v>
      </c>
      <c r="Y70" s="264">
        <f t="shared" si="6"/>
        <v>-914276.20594626374</v>
      </c>
      <c r="Z70" s="264">
        <f t="shared" si="6"/>
        <v>-897172.39937243913</v>
      </c>
      <c r="AA70" s="264">
        <f t="shared" si="6"/>
        <v>-1719710.0064227344</v>
      </c>
      <c r="AB70" s="264">
        <f t="shared" si="6"/>
        <v>-862964.7862247898</v>
      </c>
      <c r="AC70" s="264">
        <f t="shared" si="6"/>
        <v>-845860.97965096508</v>
      </c>
      <c r="AD70" s="264">
        <f t="shared" si="6"/>
        <v>-828757.17307714047</v>
      </c>
      <c r="AE70" s="264">
        <f t="shared" si="6"/>
        <v>-811653.36650331574</v>
      </c>
    </row>
    <row r="71" spans="1:31" x14ac:dyDescent="0.2">
      <c r="A71" s="260" t="s">
        <v>253</v>
      </c>
      <c r="B71" s="265">
        <f t="shared" ref="B71:AE71" si="7">-B70*$B$35</f>
        <v>0</v>
      </c>
      <c r="C71" s="265">
        <f t="shared" si="7"/>
        <v>0</v>
      </c>
      <c r="D71" s="265">
        <f t="shared" si="7"/>
        <v>254691.22879931639</v>
      </c>
      <c r="E71" s="265">
        <f t="shared" si="7"/>
        <v>251270.46748455145</v>
      </c>
      <c r="F71" s="265">
        <f t="shared" si="7"/>
        <v>247849.70616978651</v>
      </c>
      <c r="G71" s="265">
        <f t="shared" si="7"/>
        <v>244428.9448550216</v>
      </c>
      <c r="H71" s="265">
        <f t="shared" si="7"/>
        <v>241008.18354025666</v>
      </c>
      <c r="I71" s="265">
        <f t="shared" si="7"/>
        <v>242252.09674562572</v>
      </c>
      <c r="J71" s="265">
        <f t="shared" si="7"/>
        <v>234166.66091072682</v>
      </c>
      <c r="K71" s="265">
        <f t="shared" si="7"/>
        <v>398674.18232078583</v>
      </c>
      <c r="L71" s="265">
        <f t="shared" si="7"/>
        <v>227325.13828119694</v>
      </c>
      <c r="M71" s="265">
        <f t="shared" si="7"/>
        <v>223904.37696643197</v>
      </c>
      <c r="N71" s="265">
        <f t="shared" si="7"/>
        <v>295740.36457649566</v>
      </c>
      <c r="O71" s="265">
        <f t="shared" si="7"/>
        <v>221727.52885703614</v>
      </c>
      <c r="P71" s="265">
        <f t="shared" si="7"/>
        <v>213642.09302213718</v>
      </c>
      <c r="Q71" s="265">
        <f t="shared" si="7"/>
        <v>210221.33170737224</v>
      </c>
      <c r="R71" s="265">
        <f t="shared" si="7"/>
        <v>206800.5703926073</v>
      </c>
      <c r="S71" s="265">
        <f t="shared" si="7"/>
        <v>371308.09180266637</v>
      </c>
      <c r="T71" s="265">
        <f t="shared" si="7"/>
        <v>199959.04776307743</v>
      </c>
      <c r="U71" s="265">
        <f t="shared" si="7"/>
        <v>201202.96096844651</v>
      </c>
      <c r="V71" s="265">
        <f t="shared" si="7"/>
        <v>193117.52513354758</v>
      </c>
      <c r="W71" s="265">
        <f t="shared" si="7"/>
        <v>189696.76381878264</v>
      </c>
      <c r="X71" s="265">
        <f t="shared" si="7"/>
        <v>186276.0025040177</v>
      </c>
      <c r="Y71" s="265">
        <f t="shared" si="7"/>
        <v>182855.24118925276</v>
      </c>
      <c r="Z71" s="265">
        <f t="shared" si="7"/>
        <v>179434.47987448785</v>
      </c>
      <c r="AA71" s="265">
        <f t="shared" si="7"/>
        <v>343942.00128454692</v>
      </c>
      <c r="AB71" s="265">
        <f t="shared" si="7"/>
        <v>172592.95724495797</v>
      </c>
      <c r="AC71" s="265">
        <f t="shared" si="7"/>
        <v>169172.19593019303</v>
      </c>
      <c r="AD71" s="265">
        <f t="shared" si="7"/>
        <v>165751.43461542809</v>
      </c>
      <c r="AE71" s="265">
        <f t="shared" si="7"/>
        <v>162330.67330066315</v>
      </c>
    </row>
    <row r="72" spans="1:31" ht="13.5" thickBot="1" x14ac:dyDescent="0.25">
      <c r="A72" s="267" t="s">
        <v>257</v>
      </c>
      <c r="B72" s="268">
        <f t="shared" ref="B72:AE72" si="8">B70+B71</f>
        <v>0</v>
      </c>
      <c r="C72" s="268">
        <f t="shared" si="8"/>
        <v>0</v>
      </c>
      <c r="D72" s="268">
        <f t="shared" si="8"/>
        <v>-1018764.9151972656</v>
      </c>
      <c r="E72" s="268">
        <f t="shared" si="8"/>
        <v>-1005081.8699382057</v>
      </c>
      <c r="F72" s="268">
        <f t="shared" si="8"/>
        <v>-991398.82467914594</v>
      </c>
      <c r="G72" s="268">
        <f t="shared" si="8"/>
        <v>-977715.77942008642</v>
      </c>
      <c r="H72" s="268">
        <f t="shared" si="8"/>
        <v>-964032.73416102654</v>
      </c>
      <c r="I72" s="268">
        <f t="shared" si="8"/>
        <v>-969008.38698250277</v>
      </c>
      <c r="J72" s="268">
        <f t="shared" si="8"/>
        <v>-936666.64364290726</v>
      </c>
      <c r="K72" s="268">
        <f t="shared" si="8"/>
        <v>-1594696.7292831433</v>
      </c>
      <c r="L72" s="268">
        <f t="shared" si="8"/>
        <v>-909300.55312478764</v>
      </c>
      <c r="M72" s="268">
        <f t="shared" si="8"/>
        <v>-895617.50786572788</v>
      </c>
      <c r="N72" s="268">
        <f t="shared" si="8"/>
        <v>-1182961.4583059824</v>
      </c>
      <c r="O72" s="268">
        <f t="shared" si="8"/>
        <v>-886910.11542814446</v>
      </c>
      <c r="P72" s="268">
        <f t="shared" si="8"/>
        <v>-854568.37208854873</v>
      </c>
      <c r="Q72" s="268">
        <f t="shared" si="8"/>
        <v>-840885.32682948897</v>
      </c>
      <c r="R72" s="268">
        <f t="shared" si="8"/>
        <v>-827202.28157042922</v>
      </c>
      <c r="S72" s="268">
        <f t="shared" si="8"/>
        <v>-1485232.3672106653</v>
      </c>
      <c r="T72" s="268">
        <f t="shared" si="8"/>
        <v>-799836.1910523097</v>
      </c>
      <c r="U72" s="268">
        <f t="shared" si="8"/>
        <v>-804811.84387378604</v>
      </c>
      <c r="V72" s="268">
        <f t="shared" si="8"/>
        <v>-772470.10053419019</v>
      </c>
      <c r="W72" s="268">
        <f t="shared" si="8"/>
        <v>-758787.05527513043</v>
      </c>
      <c r="X72" s="268">
        <f t="shared" si="8"/>
        <v>-745104.0100160708</v>
      </c>
      <c r="Y72" s="268">
        <f t="shared" si="8"/>
        <v>-731420.96475701104</v>
      </c>
      <c r="Z72" s="268">
        <f t="shared" si="8"/>
        <v>-717737.91949795128</v>
      </c>
      <c r="AA72" s="268">
        <f t="shared" si="8"/>
        <v>-1375768.0051381874</v>
      </c>
      <c r="AB72" s="268">
        <f t="shared" si="8"/>
        <v>-690371.82897983189</v>
      </c>
      <c r="AC72" s="268">
        <f t="shared" si="8"/>
        <v>-676688.78372077201</v>
      </c>
      <c r="AD72" s="268">
        <f t="shared" si="8"/>
        <v>-663005.73846171238</v>
      </c>
      <c r="AE72" s="268">
        <f t="shared" si="8"/>
        <v>-649322.69320265262</v>
      </c>
    </row>
    <row r="73" spans="1:31" ht="13.5" thickBot="1" x14ac:dyDescent="0.25">
      <c r="A73" s="250"/>
      <c r="B73" s="269">
        <v>0.5</v>
      </c>
      <c r="C73" s="269">
        <v>1.5</v>
      </c>
      <c r="D73" s="269">
        <v>2.5</v>
      </c>
      <c r="E73" s="269">
        <v>3.5</v>
      </c>
      <c r="F73" s="269">
        <v>4.5</v>
      </c>
      <c r="G73" s="269">
        <v>5.5</v>
      </c>
      <c r="H73" s="269">
        <v>6.5</v>
      </c>
      <c r="I73" s="269">
        <v>7.5</v>
      </c>
      <c r="J73" s="269">
        <v>8.5</v>
      </c>
      <c r="K73" s="269">
        <v>9.5</v>
      </c>
      <c r="L73" s="269">
        <v>10.5</v>
      </c>
      <c r="M73" s="269">
        <v>11.5</v>
      </c>
      <c r="N73" s="269">
        <v>12.5</v>
      </c>
      <c r="O73" s="269">
        <v>13.5</v>
      </c>
      <c r="P73" s="269">
        <v>14.5</v>
      </c>
      <c r="Q73" s="269">
        <v>15.5</v>
      </c>
      <c r="R73" s="269">
        <v>16.5</v>
      </c>
      <c r="S73" s="269">
        <v>17.5</v>
      </c>
      <c r="T73" s="269">
        <v>18.5</v>
      </c>
      <c r="U73" s="269">
        <v>19.5</v>
      </c>
      <c r="V73" s="269">
        <v>20.5</v>
      </c>
      <c r="W73" s="269">
        <v>21.5</v>
      </c>
      <c r="X73" s="269">
        <v>22.5</v>
      </c>
      <c r="Y73" s="269">
        <v>23.5</v>
      </c>
      <c r="Z73" s="269">
        <v>24.5</v>
      </c>
      <c r="AA73" s="269">
        <v>25.5</v>
      </c>
      <c r="AB73" s="269">
        <v>26.5</v>
      </c>
      <c r="AC73" s="269">
        <v>27.5</v>
      </c>
      <c r="AD73" s="269">
        <v>28.5</v>
      </c>
      <c r="AE73" s="269">
        <v>29.5</v>
      </c>
    </row>
    <row r="74" spans="1:31" x14ac:dyDescent="0.2">
      <c r="A74" s="252" t="s">
        <v>256</v>
      </c>
      <c r="B74" s="243">
        <v>1</v>
      </c>
      <c r="C74" s="243">
        <v>2</v>
      </c>
      <c r="D74" s="243">
        <v>3</v>
      </c>
      <c r="E74" s="243">
        <v>4</v>
      </c>
      <c r="F74" s="243">
        <v>5</v>
      </c>
      <c r="G74" s="243">
        <v>6</v>
      </c>
      <c r="H74" s="243">
        <v>7</v>
      </c>
      <c r="I74" s="243">
        <v>8</v>
      </c>
      <c r="J74" s="243">
        <v>9</v>
      </c>
      <c r="K74" s="243">
        <v>10</v>
      </c>
      <c r="L74" s="243">
        <v>11</v>
      </c>
      <c r="M74" s="243">
        <v>12</v>
      </c>
      <c r="N74" s="243">
        <v>13</v>
      </c>
      <c r="O74" s="243">
        <v>14</v>
      </c>
      <c r="P74" s="243">
        <v>15</v>
      </c>
      <c r="Q74" s="243">
        <v>16</v>
      </c>
      <c r="R74" s="243">
        <v>17</v>
      </c>
      <c r="S74" s="243">
        <v>18</v>
      </c>
      <c r="T74" s="243">
        <v>19</v>
      </c>
      <c r="U74" s="243">
        <v>20</v>
      </c>
      <c r="V74" s="243">
        <v>21</v>
      </c>
      <c r="W74" s="243">
        <v>22</v>
      </c>
      <c r="X74" s="243">
        <v>23</v>
      </c>
      <c r="Y74" s="243">
        <v>24</v>
      </c>
      <c r="Z74" s="243">
        <v>25</v>
      </c>
      <c r="AA74" s="243">
        <v>26</v>
      </c>
      <c r="AB74" s="243">
        <v>27</v>
      </c>
      <c r="AC74" s="243">
        <v>28</v>
      </c>
      <c r="AD74" s="243">
        <v>29</v>
      </c>
      <c r="AE74" s="243">
        <v>30</v>
      </c>
    </row>
    <row r="75" spans="1:31" x14ac:dyDescent="0.2">
      <c r="A75" s="270" t="s">
        <v>579</v>
      </c>
      <c r="B75" s="264">
        <f t="shared" ref="B75:AE75" si="9">B68</f>
        <v>0</v>
      </c>
      <c r="C75" s="264">
        <f t="shared" si="9"/>
        <v>0</v>
      </c>
      <c r="D75" s="264">
        <f t="shared" si="9"/>
        <v>-1273456.1439965819</v>
      </c>
      <c r="E75" s="264">
        <f t="shared" si="9"/>
        <v>-1256352.3374227572</v>
      </c>
      <c r="F75" s="264">
        <f t="shared" si="9"/>
        <v>-1239248.5308489325</v>
      </c>
      <c r="G75" s="264">
        <f t="shared" si="9"/>
        <v>-1222144.724275108</v>
      </c>
      <c r="H75" s="264">
        <f t="shared" si="9"/>
        <v>-1205040.9177012832</v>
      </c>
      <c r="I75" s="264">
        <f t="shared" si="9"/>
        <v>-1211260.4837281285</v>
      </c>
      <c r="J75" s="264">
        <f t="shared" si="9"/>
        <v>-1170833.304553634</v>
      </c>
      <c r="K75" s="264">
        <f t="shared" si="9"/>
        <v>-1993370.911603929</v>
      </c>
      <c r="L75" s="264">
        <f t="shared" si="9"/>
        <v>-1136625.6914059846</v>
      </c>
      <c r="M75" s="264">
        <f t="shared" si="9"/>
        <v>-1119521.8848321598</v>
      </c>
      <c r="N75" s="264">
        <f t="shared" si="9"/>
        <v>-1478701.8228824781</v>
      </c>
      <c r="O75" s="264">
        <f t="shared" si="9"/>
        <v>-1108637.6442851806</v>
      </c>
      <c r="P75" s="264">
        <f t="shared" si="9"/>
        <v>-1068210.4651106859</v>
      </c>
      <c r="Q75" s="264">
        <f t="shared" si="9"/>
        <v>-1051106.6585368612</v>
      </c>
      <c r="R75" s="264">
        <f t="shared" si="9"/>
        <v>-1034002.8519630365</v>
      </c>
      <c r="S75" s="264">
        <f t="shared" si="9"/>
        <v>-1856540.4590133317</v>
      </c>
      <c r="T75" s="264">
        <f t="shared" si="9"/>
        <v>-999795.23881538713</v>
      </c>
      <c r="U75" s="264">
        <f t="shared" si="9"/>
        <v>-1006014.8048422325</v>
      </c>
      <c r="V75" s="264">
        <f t="shared" si="9"/>
        <v>-965587.6256677378</v>
      </c>
      <c r="W75" s="264">
        <f t="shared" si="9"/>
        <v>-948483.81909391307</v>
      </c>
      <c r="X75" s="264">
        <f t="shared" si="9"/>
        <v>-931380.01252008846</v>
      </c>
      <c r="Y75" s="264">
        <f t="shared" si="9"/>
        <v>-914276.20594626374</v>
      </c>
      <c r="Z75" s="264">
        <f t="shared" si="9"/>
        <v>-897172.39937243913</v>
      </c>
      <c r="AA75" s="264">
        <f t="shared" si="9"/>
        <v>-1719710.0064227344</v>
      </c>
      <c r="AB75" s="264">
        <f t="shared" si="9"/>
        <v>-862964.7862247898</v>
      </c>
      <c r="AC75" s="264">
        <f t="shared" si="9"/>
        <v>-845860.97965096508</v>
      </c>
      <c r="AD75" s="264">
        <f t="shared" si="9"/>
        <v>-828757.17307714047</v>
      </c>
      <c r="AE75" s="264">
        <f t="shared" si="9"/>
        <v>-811653.36650331574</v>
      </c>
    </row>
    <row r="76" spans="1:31" x14ac:dyDescent="0.2">
      <c r="A76" s="260" t="s">
        <v>255</v>
      </c>
      <c r="B76" s="265">
        <f t="shared" ref="B76:AE76" si="10">-B67</f>
        <v>0</v>
      </c>
      <c r="C76" s="265">
        <f t="shared" si="10"/>
        <v>0</v>
      </c>
      <c r="D76" s="265">
        <f>-D67</f>
        <v>777445.75335566665</v>
      </c>
      <c r="E76" s="265">
        <f t="shared" si="10"/>
        <v>777445.75335566665</v>
      </c>
      <c r="F76" s="265">
        <f t="shared" si="10"/>
        <v>777445.75335566665</v>
      </c>
      <c r="G76" s="265">
        <f t="shared" si="10"/>
        <v>777445.75335566665</v>
      </c>
      <c r="H76" s="265">
        <f t="shared" si="10"/>
        <v>777445.75335566665</v>
      </c>
      <c r="I76" s="265">
        <f t="shared" si="10"/>
        <v>777445.75335566665</v>
      </c>
      <c r="J76" s="265">
        <f t="shared" si="10"/>
        <v>777445.75335566665</v>
      </c>
      <c r="K76" s="265">
        <f t="shared" si="10"/>
        <v>777445.75335566665</v>
      </c>
      <c r="L76" s="265">
        <f t="shared" si="10"/>
        <v>777445.75335566665</v>
      </c>
      <c r="M76" s="265">
        <f t="shared" si="10"/>
        <v>777445.75335566665</v>
      </c>
      <c r="N76" s="265">
        <f t="shared" si="10"/>
        <v>777445.75335566665</v>
      </c>
      <c r="O76" s="265">
        <f t="shared" si="10"/>
        <v>777445.75335566665</v>
      </c>
      <c r="P76" s="265">
        <f t="shared" si="10"/>
        <v>777445.75335566665</v>
      </c>
      <c r="Q76" s="265">
        <f t="shared" si="10"/>
        <v>777445.75335566665</v>
      </c>
      <c r="R76" s="265">
        <f t="shared" si="10"/>
        <v>777445.75335566665</v>
      </c>
      <c r="S76" s="265">
        <f t="shared" si="10"/>
        <v>777445.75335566665</v>
      </c>
      <c r="T76" s="265">
        <f t="shared" si="10"/>
        <v>777445.75335566665</v>
      </c>
      <c r="U76" s="265">
        <f t="shared" si="10"/>
        <v>777445.75335566665</v>
      </c>
      <c r="V76" s="265">
        <f t="shared" si="10"/>
        <v>777445.75335566665</v>
      </c>
      <c r="W76" s="265">
        <f t="shared" si="10"/>
        <v>777445.75335566665</v>
      </c>
      <c r="X76" s="265">
        <f t="shared" si="10"/>
        <v>777445.75335566665</v>
      </c>
      <c r="Y76" s="265">
        <f t="shared" si="10"/>
        <v>777445.75335566665</v>
      </c>
      <c r="Z76" s="265">
        <f t="shared" si="10"/>
        <v>777445.75335566665</v>
      </c>
      <c r="AA76" s="265">
        <f t="shared" si="10"/>
        <v>777445.75335566665</v>
      </c>
      <c r="AB76" s="265">
        <f t="shared" si="10"/>
        <v>777445.75335566665</v>
      </c>
      <c r="AC76" s="265">
        <f t="shared" si="10"/>
        <v>777445.75335566665</v>
      </c>
      <c r="AD76" s="265">
        <f t="shared" si="10"/>
        <v>777445.75335566665</v>
      </c>
      <c r="AE76" s="265">
        <f t="shared" si="10"/>
        <v>777445.75335566665</v>
      </c>
    </row>
    <row r="77" spans="1:31" x14ac:dyDescent="0.2">
      <c r="A77" s="260" t="s">
        <v>254</v>
      </c>
      <c r="B77" s="265">
        <f t="shared" ref="B77:AE77" si="11">B69</f>
        <v>0</v>
      </c>
      <c r="C77" s="265">
        <f t="shared" si="11"/>
        <v>0</v>
      </c>
      <c r="D77" s="265">
        <f t="shared" si="11"/>
        <v>0</v>
      </c>
      <c r="E77" s="265">
        <f t="shared" si="11"/>
        <v>0</v>
      </c>
      <c r="F77" s="265">
        <f t="shared" si="11"/>
        <v>0</v>
      </c>
      <c r="G77" s="265">
        <f t="shared" si="11"/>
        <v>0</v>
      </c>
      <c r="H77" s="265">
        <f t="shared" si="11"/>
        <v>0</v>
      </c>
      <c r="I77" s="265">
        <f t="shared" si="11"/>
        <v>0</v>
      </c>
      <c r="J77" s="265">
        <f t="shared" si="11"/>
        <v>0</v>
      </c>
      <c r="K77" s="265">
        <f t="shared" si="11"/>
        <v>0</v>
      </c>
      <c r="L77" s="265">
        <f t="shared" si="11"/>
        <v>0</v>
      </c>
      <c r="M77" s="265">
        <f t="shared" si="11"/>
        <v>0</v>
      </c>
      <c r="N77" s="265">
        <f t="shared" si="11"/>
        <v>0</v>
      </c>
      <c r="O77" s="265">
        <f t="shared" si="11"/>
        <v>0</v>
      </c>
      <c r="P77" s="265">
        <f t="shared" si="11"/>
        <v>0</v>
      </c>
      <c r="Q77" s="265">
        <f t="shared" si="11"/>
        <v>0</v>
      </c>
      <c r="R77" s="265">
        <f t="shared" si="11"/>
        <v>0</v>
      </c>
      <c r="S77" s="265">
        <f t="shared" si="11"/>
        <v>0</v>
      </c>
      <c r="T77" s="265">
        <f t="shared" si="11"/>
        <v>0</v>
      </c>
      <c r="U77" s="265">
        <f t="shared" si="11"/>
        <v>0</v>
      </c>
      <c r="V77" s="265">
        <f t="shared" si="11"/>
        <v>0</v>
      </c>
      <c r="W77" s="265">
        <f t="shared" si="11"/>
        <v>0</v>
      </c>
      <c r="X77" s="265">
        <f t="shared" si="11"/>
        <v>0</v>
      </c>
      <c r="Y77" s="265">
        <f t="shared" si="11"/>
        <v>0</v>
      </c>
      <c r="Z77" s="265">
        <f t="shared" si="11"/>
        <v>0</v>
      </c>
      <c r="AA77" s="265">
        <f t="shared" si="11"/>
        <v>0</v>
      </c>
      <c r="AB77" s="265">
        <f t="shared" si="11"/>
        <v>0</v>
      </c>
      <c r="AC77" s="265">
        <f t="shared" si="11"/>
        <v>0</v>
      </c>
      <c r="AD77" s="265">
        <f t="shared" si="11"/>
        <v>0</v>
      </c>
      <c r="AE77" s="265">
        <f t="shared" si="11"/>
        <v>0</v>
      </c>
    </row>
    <row r="78" spans="1:31" x14ac:dyDescent="0.2">
      <c r="A78" s="260" t="s">
        <v>253</v>
      </c>
      <c r="B78" s="265">
        <f>IF(SUM($B$71:B71)+SUM($A$78:A78)&gt;0,0,SUM($B$71:B71)-SUM($A$78:A78))</f>
        <v>0</v>
      </c>
      <c r="C78" s="265">
        <f>IF(SUM($B$71:C71)+SUM($A$78:B78)&gt;0,0,SUM($B$71:C71)-SUM($A$78:B78))</f>
        <v>0</v>
      </c>
      <c r="D78" s="265">
        <f>IF(SUM($B$71:D71)+SUM($A$78:C78)&gt;0,0,SUM($B$71:D71)-SUM($A$78:C78))</f>
        <v>0</v>
      </c>
      <c r="E78" s="265">
        <f>IF(SUM($B$71:E71)+SUM($A$78:D78)&gt;0,0,SUM($B$71:E71)-SUM($A$78:D78))</f>
        <v>0</v>
      </c>
      <c r="F78" s="265">
        <f>IF(SUM($B$71:F71)+SUM($A$78:E78)&gt;0,0,SUM($B$71:F71)-SUM($A$78:E78))</f>
        <v>0</v>
      </c>
      <c r="G78" s="265">
        <f>IF(SUM($B$71:G71)+SUM($A$78:F78)&gt;0,0,SUM($B$71:G71)-SUM($A$78:F78))</f>
        <v>0</v>
      </c>
      <c r="H78" s="265">
        <f>IF(SUM($B$71:H71)+SUM($A$78:G78)&gt;0,0,SUM($B$71:H71)-SUM($A$78:G78))</f>
        <v>0</v>
      </c>
      <c r="I78" s="265">
        <f>IF(SUM($B$71:I71)+SUM($A$78:H78)&gt;0,0,SUM($B$71:I71)-SUM($A$78:H78))</f>
        <v>0</v>
      </c>
      <c r="J78" s="265">
        <f>IF(SUM($B$71:J71)+SUM($A$78:I78)&gt;0,0,SUM($B$71:J71)-SUM($A$78:I78))</f>
        <v>0</v>
      </c>
      <c r="K78" s="265">
        <f>IF(SUM($B$71:K71)+SUM($A$78:J78)&gt;0,0,SUM($B$71:K71)-SUM($A$78:J78))</f>
        <v>0</v>
      </c>
      <c r="L78" s="265">
        <f>IF(SUM($B$71:L71)+SUM($A$78:K78)&gt;0,0,SUM($B$71:L71)-SUM($A$78:K78))</f>
        <v>0</v>
      </c>
      <c r="M78" s="265">
        <f>IF(SUM($B$71:M71)+SUM($A$78:L78)&gt;0,0,SUM($B$71:M71)-SUM($A$78:L78))</f>
        <v>0</v>
      </c>
      <c r="N78" s="265">
        <f>IF(SUM($B$71:N71)+SUM($A$78:M78)&gt;0,0,SUM($B$71:N71)-SUM($A$78:M78))</f>
        <v>0</v>
      </c>
      <c r="O78" s="265">
        <f>IF(SUM($B$71:O71)+SUM($A$78:N78)&gt;0,0,SUM($B$71:O71)-SUM($A$78:N78))</f>
        <v>0</v>
      </c>
      <c r="P78" s="265">
        <f>IF(SUM($B$71:P71)+SUM($A$78:O78)&gt;0,0,SUM($B$71:P71)-SUM($A$78:O78))</f>
        <v>0</v>
      </c>
      <c r="Q78" s="265">
        <f>IF(SUM($B$71:Q71)+SUM($A$78:P78)&gt;0,0,SUM($B$71:Q71)-SUM($A$78:P78))</f>
        <v>0</v>
      </c>
      <c r="R78" s="265">
        <f>IF(SUM($B$71:R71)+SUM($A$78:Q78)&gt;0,0,SUM($B$71:R71)-SUM($A$78:Q78))</f>
        <v>0</v>
      </c>
      <c r="S78" s="265">
        <f>IF(SUM($B$71:S71)+SUM($A$78:R78)&gt;0,0,SUM($B$71:S71)-SUM($A$78:R78))</f>
        <v>0</v>
      </c>
      <c r="T78" s="265">
        <f>IF(SUM($B$71:T71)+SUM($A$78:S78)&gt;0,0,SUM($B$71:T71)-SUM($A$78:S78))</f>
        <v>0</v>
      </c>
      <c r="U78" s="265">
        <f>IF(SUM($B$71:U71)+SUM($A$78:T78)&gt;0,0,SUM($B$71:U71)-SUM($A$78:T78))</f>
        <v>0</v>
      </c>
      <c r="V78" s="265">
        <f>IF(SUM($B$71:V71)+SUM($A$78:U78)&gt;0,0,SUM($B$71:V71)-SUM($A$78:U78))</f>
        <v>0</v>
      </c>
      <c r="W78" s="265">
        <f>IF(SUM($B$71:W71)+SUM($A$78:V78)&gt;0,0,SUM($B$71:W71)-SUM($A$78:V78))</f>
        <v>0</v>
      </c>
      <c r="X78" s="265">
        <f>IF(SUM($B$71:X71)+SUM($A$78:W78)&gt;0,0,SUM($B$71:X71)-SUM($A$78:W78))</f>
        <v>0</v>
      </c>
      <c r="Y78" s="265">
        <f>IF(SUM($B$71:Y71)+SUM($A$78:X78)&gt;0,0,SUM($B$71:Y71)-SUM($A$78:X78))</f>
        <v>0</v>
      </c>
      <c r="Z78" s="265">
        <f>IF(SUM($B$71:Z71)+SUM($A$78:Y78)&gt;0,0,SUM($B$71:Z71)-SUM($A$78:Y78))</f>
        <v>0</v>
      </c>
      <c r="AA78" s="265">
        <f>IF(SUM($B$71:AA71)+SUM($A$78:Z78)&gt;0,0,SUM($B$71:AA71)-SUM($A$78:Z78))</f>
        <v>0</v>
      </c>
      <c r="AB78" s="265">
        <f>IF(SUM($B$71:AB71)+SUM($A$78:AA78)&gt;0,0,SUM($B$71:AB71)-SUM($A$78:AA78))</f>
        <v>0</v>
      </c>
      <c r="AC78" s="265">
        <f>IF(SUM($B$71:AC71)+SUM($A$78:AB78)&gt;0,0,SUM($B$71:AC71)-SUM($A$78:AB78))</f>
        <v>0</v>
      </c>
      <c r="AD78" s="265">
        <f>IF(SUM($B$71:AD71)+SUM($A$78:AC78)&gt;0,0,SUM($B$71:AD71)-SUM($A$78:AC78))</f>
        <v>0</v>
      </c>
      <c r="AE78" s="265">
        <f>IF(SUM($B$71:AE71)+SUM($A$78:AD78)&gt;0,0,SUM($B$71:AE71)-SUM($A$78:AD78))</f>
        <v>0</v>
      </c>
    </row>
    <row r="79" spans="1:31" x14ac:dyDescent="0.2">
      <c r="A79" s="260" t="s">
        <v>252</v>
      </c>
      <c r="B79" s="265">
        <f>IF(((SUM($B$58:B58)+SUM($B$60:B64))+SUM($B$81:B81))&lt;0,((SUM($B$58:B58)+SUM($B$60:B64))+SUM($B$81:B81))*0.2-SUM($A$79:A79),IF(SUM(A$79:$A79)&lt;0,0-SUM(A$79:$A79),0))</f>
        <v>-4161534.5212895991</v>
      </c>
      <c r="C79" s="265">
        <f>IF(((SUM($B$58:C58)+SUM($B$60:C64))+SUM($B$81:C81))&lt;0,((SUM($B$58:C58)+SUM($B$60:C64))+SUM($B$81:C81))*0.2-SUM($A$79:B79),IF(SUM($A$79:B79)&lt;0,0-SUM($A$79:B79),0))</f>
        <v>-1436074.9028712008</v>
      </c>
      <c r="D79" s="265">
        <f>IF(((SUM($B$58:D58)+SUM($B$60:D64))+SUM($B$81:D81))&lt;0,((SUM($B$58:D58)+SUM($B$60:D64))+SUM($B$81:D81))*0.2-SUM($A$79:C79),IF(SUM($A$79:C79)&lt;0,0-SUM($A$79:C79),0))</f>
        <v>0</v>
      </c>
      <c r="E79" s="265">
        <f>IF(((SUM($B$58:E58)+SUM($B$60:E64))+SUM($B$81:E81))&lt;0,((SUM($B$58:E58)+SUM($B$60:E64))+SUM($B$81:E81))*0.2-SUM($A$79:D79),IF(SUM($A$79:D79)&lt;0,0-SUM($A$79:D79),0))</f>
        <v>0</v>
      </c>
      <c r="F79" s="265">
        <f>IF(((SUM($B$58:F58)+SUM($B$60:F64))+SUM($B$81:F81))&lt;0,((SUM($B$58:F58)+SUM($B$60:F64))+SUM($B$81:F81))*0.2-SUM($A$79:E79),IF(SUM($A$79:E79)&lt;0,0-SUM($A$79:E79),0))</f>
        <v>0</v>
      </c>
      <c r="G79" s="265">
        <f>IF(((SUM($B$58:G58)+SUM($B$60:G64))+SUM($B$81:G81))&lt;0,((SUM($B$58:G58)+SUM($B$60:G64))+SUM($B$81:G81))*0.2-SUM($A$79:F79),IF(SUM($A$79:F79)&lt;0,0-SUM($A$79:F79),0))</f>
        <v>0</v>
      </c>
      <c r="H79" s="265">
        <f>IF(((SUM($B$58:H58)+SUM($B$60:H64))+SUM($B$81:H81))&lt;0,((SUM($B$58:H58)+SUM($B$60:H64))+SUM($B$81:H81))*0.2-SUM($A$79:G79),IF(SUM($A$79:G79)&lt;0,0-SUM($A$79:G79),0))</f>
        <v>0</v>
      </c>
      <c r="I79" s="265">
        <f>IF(((SUM($B$58:I58)+SUM($B$60:I64))+SUM($B$81:I81))&lt;0,((SUM($B$58:I58)+SUM($B$60:I64))+SUM($B$81:I81))*0.2-SUM($A$79:H79),IF(SUM($A$79:H79)&lt;0,0-SUM($A$79:H79),0))</f>
        <v>-4664.6745201339945</v>
      </c>
      <c r="J79" s="265">
        <f>IF(((SUM($B$58:J58)+SUM($B$60:J64))+SUM($B$81:J81))&lt;0,((SUM($B$58:J58)+SUM($B$60:J64))+SUM($B$81:J81))*0.2-SUM($A$79:I79),IF(SUM($A$79:I79)&lt;0,0-SUM($A$79:I79),0))</f>
        <v>0</v>
      </c>
      <c r="K79" s="265">
        <f>IF(((SUM($B$58:K58)+SUM($B$60:K64))+SUM($B$81:K81))&lt;0,((SUM($B$58:K58)+SUM($B$60:K64))+SUM($B$81:K81))*0.2-SUM($A$79:J79),IF(SUM($A$79:J79)&lt;0,0-SUM($A$79:J79),0))</f>
        <v>-167928.2827248238</v>
      </c>
      <c r="L79" s="265">
        <f>IF(((SUM($B$58:L58)+SUM($B$60:L64))+SUM($B$81:L81))&lt;0,((SUM($B$58:L58)+SUM($B$60:L64))+SUM($B$81:L81))*0.2-SUM($A$79:K79),IF(SUM($A$79:K79)&lt;0,0-SUM($A$79:K79),0))</f>
        <v>0</v>
      </c>
      <c r="M79" s="265">
        <f>IF(((SUM($B$58:M58)+SUM($B$60:M64))+SUM($B$81:M81))&lt;0,((SUM($B$58:M58)+SUM($B$60:M64))+SUM($B$81:M81))*0.2-SUM($A$79:L79),IF(SUM($A$79:L79)&lt;0,0-SUM($A$79:L79),0))</f>
        <v>0</v>
      </c>
      <c r="N79" s="265">
        <f>IF(((SUM($B$58:N58)+SUM($B$60:N64))+SUM($B$81:N81))&lt;0,((SUM($B$58:N58)+SUM($B$60:N64))+SUM($B$81:N81))*0.2-SUM($A$79:M79),IF(SUM($A$79:M79)&lt;0,0-SUM($A$79:M79),0))</f>
        <v>0</v>
      </c>
      <c r="O79" s="265">
        <f>IF(((SUM($B$58:O58)+SUM($B$60:O64))+SUM($B$81:O81))&lt;0,((SUM($B$58:O58)+SUM($B$60:O64))+SUM($B$81:O81))*0.2-SUM($A$79:N79),IF(SUM($A$79:N79)&lt;0,0-SUM($A$79:N79),0))</f>
        <v>-4664.6745201339945</v>
      </c>
      <c r="P79" s="265">
        <f>IF(((SUM($B$58:P58)+SUM($B$60:P64))+SUM($B$81:P81))&lt;0,((SUM($B$58:P58)+SUM($B$60:P64))+SUM($B$81:P81))*0.2-SUM($A$79:O79),IF(SUM($A$79:O79)&lt;0,0-SUM($A$79:O79),0))</f>
        <v>0</v>
      </c>
      <c r="Q79" s="265">
        <f>IF(((SUM($B$58:Q58)+SUM($B$60:Q64))+SUM($B$81:Q81))&lt;0,((SUM($B$58:Q58)+SUM($B$60:Q64))+SUM($B$81:Q81))*0.2-SUM($A$79:P79),IF(SUM($A$79:P79)&lt;0,0-SUM($A$79:P79),0))</f>
        <v>0</v>
      </c>
      <c r="R79" s="265">
        <f>IF(((SUM($B$58:R58)+SUM($B$60:R64))+SUM($B$81:R81))&lt;0,((SUM($B$58:R58)+SUM($B$60:R64))+SUM($B$81:R81))*0.2-SUM($A$79:Q79),IF(SUM($A$79:Q79)&lt;0,0-SUM($A$79:Q79),0))</f>
        <v>0</v>
      </c>
      <c r="S79" s="265">
        <f>IF(((SUM($B$58:S58)+SUM($B$60:S64))+SUM($B$81:S81))&lt;0,((SUM($B$58:S58)+SUM($B$60:S64))+SUM($B$81:S81))*0.2-SUM($A$79:R79),IF(SUM($A$79:R79)&lt;0,0-SUM($A$79:R79),0))</f>
        <v>-167928.2827248238</v>
      </c>
      <c r="T79" s="265">
        <f>IF(((SUM($B$58:T58)+SUM($B$60:T64))+SUM($B$81:T81))&lt;0,((SUM($B$58:T58)+SUM($B$60:T64))+SUM($B$81:T81))*0.2-SUM($A$79:S79),IF(SUM($A$79:S79)&lt;0,0-SUM($A$79:S79),0))</f>
        <v>0</v>
      </c>
      <c r="U79" s="265">
        <f>IF(((SUM($B$58:U58)+SUM($B$60:U64))+SUM($B$81:U81))&lt;0,((SUM($B$58:U58)+SUM($B$60:U64))+SUM($B$81:U81))*0.2-SUM($A$79:T79),IF(SUM($A$79:T79)&lt;0,0-SUM($A$79:T79),0))</f>
        <v>-4664.6745201339945</v>
      </c>
      <c r="V79" s="265">
        <f>IF(((SUM($B$58:V58)+SUM($B$60:V64))+SUM($B$81:V81))&lt;0,((SUM($B$58:V58)+SUM($B$60:V64))+SUM($B$81:V81))*0.2-SUM($A$79:U79),IF(SUM($A$79:U79)&lt;0,0-SUM($A$79:U79),0))</f>
        <v>0</v>
      </c>
      <c r="W79" s="265">
        <f>IF(((SUM($B$58:W58)+SUM($B$60:W64))+SUM($B$81:W81))&lt;0,((SUM($B$58:W58)+SUM($B$60:W64))+SUM($B$81:W81))*0.2-SUM($A$79:V79),IF(SUM($A$79:V79)&lt;0,0-SUM($A$79:V79),0))</f>
        <v>0</v>
      </c>
      <c r="X79" s="265">
        <f>IF(((SUM($B$58:X58)+SUM($B$60:X64))+SUM($B$81:X81))&lt;0,((SUM($B$58:X58)+SUM($B$60:X64))+SUM($B$81:X81))*0.2-SUM($A$79:W79),IF(SUM($A$79:W79)&lt;0,0-SUM($A$79:W79),0))</f>
        <v>0</v>
      </c>
      <c r="Y79" s="265">
        <f>IF(((SUM($B$58:Y58)+SUM($B$60:Y64))+SUM($B$81:Y81))&lt;0,((SUM($B$58:Y58)+SUM($B$60:Y64))+SUM($B$81:Y81))*0.2-SUM($A$79:X79),IF(SUM($A$79:X79)&lt;0,0-SUM($A$79:X79),0))</f>
        <v>0</v>
      </c>
      <c r="Z79" s="265">
        <f>IF(((SUM($B$58:Z58)+SUM($B$60:Z64))+SUM($B$81:Z81))&lt;0,((SUM($B$58:Z58)+SUM($B$60:Z64))+SUM($B$81:Z81))*0.2-SUM($A$79:Y79),IF(SUM($A$79:Y79)&lt;0,0-SUM($A$79:Y79),0))</f>
        <v>0</v>
      </c>
      <c r="AA79" s="265">
        <f>IF(((SUM($B$58:AA58)+SUM($B$60:AA64))+SUM($B$81:AA81))&lt;0,((SUM($B$58:AA58)+SUM($B$60:AA64))+SUM($B$81:AA81))*0.2-SUM($A$79:Z79),IF(SUM($A$79:Z79)&lt;0,0-SUM($A$79:Z79),0))</f>
        <v>-167928.2827248238</v>
      </c>
      <c r="AB79" s="265">
        <f>IF(((SUM($B$58:AB58)+SUM($B$60:AB64))+SUM($B$81:AB81))&lt;0,((SUM($B$58:AB58)+SUM($B$60:AB64))+SUM($B$81:AB81))*0.2-SUM($A$79:AA79),IF(SUM($A$79:AA79)&lt;0,0-SUM($A$79:AA79),0))</f>
        <v>0</v>
      </c>
      <c r="AC79" s="265">
        <f>IF(((SUM($B$58:AC58)+SUM($B$60:AC64))+SUM($B$81:AC81))&lt;0,((SUM($B$58:AC58)+SUM($B$60:AC64))+SUM($B$81:AC81))*0.2-SUM($A$79:AB79),IF(SUM($A$79:AB79)&lt;0,0-SUM($A$79:AB79),0))</f>
        <v>0</v>
      </c>
      <c r="AD79" s="265">
        <f>IF(((SUM($B$58:AD58)+SUM($B$60:AD64))+SUM($B$81:AD81))&lt;0,((SUM($B$58:AD58)+SUM($B$60:AD64))+SUM($B$81:AD81))*0.2-SUM($A$79:AC79),IF(SUM($A$79:AC79)&lt;0,0-SUM($A$79:AC79),0))</f>
        <v>0</v>
      </c>
      <c r="AE79" s="265">
        <f>IF(((SUM($B$58:AE58)+SUM($B$60:AE64))+SUM($B$81:AE81))&lt;0,((SUM($B$58:AE58)+SUM($B$60:AE64))+SUM($B$81:AE81))*0.2-SUM($A$79:AD79),IF(SUM($A$79:AD79)&lt;0,0-SUM($A$79:AD79),0))</f>
        <v>0</v>
      </c>
    </row>
    <row r="80" spans="1:31" x14ac:dyDescent="0.2">
      <c r="A80" s="260" t="s">
        <v>251</v>
      </c>
      <c r="B80" s="265">
        <f>-B58*($B$38)</f>
        <v>0</v>
      </c>
      <c r="C80" s="265">
        <f t="shared" ref="C80:AE80" si="12">-C58*($B$38)</f>
        <v>0</v>
      </c>
      <c r="D80" s="265">
        <f t="shared" si="12"/>
        <v>0</v>
      </c>
      <c r="E80" s="265">
        <f t="shared" si="12"/>
        <v>0</v>
      </c>
      <c r="F80" s="265">
        <f t="shared" si="12"/>
        <v>0</v>
      </c>
      <c r="G80" s="265">
        <f t="shared" si="12"/>
        <v>0</v>
      </c>
      <c r="H80" s="265">
        <f t="shared" si="12"/>
        <v>0</v>
      </c>
      <c r="I80" s="265">
        <f t="shared" si="12"/>
        <v>0</v>
      </c>
      <c r="J80" s="265">
        <f t="shared" si="12"/>
        <v>0</v>
      </c>
      <c r="K80" s="265">
        <f t="shared" si="12"/>
        <v>0</v>
      </c>
      <c r="L80" s="265">
        <f t="shared" si="12"/>
        <v>0</v>
      </c>
      <c r="M80" s="265">
        <f t="shared" si="12"/>
        <v>0</v>
      </c>
      <c r="N80" s="265">
        <f t="shared" si="12"/>
        <v>0</v>
      </c>
      <c r="O80" s="265">
        <f t="shared" si="12"/>
        <v>0</v>
      </c>
      <c r="P80" s="265">
        <f t="shared" si="12"/>
        <v>0</v>
      </c>
      <c r="Q80" s="265">
        <f t="shared" si="12"/>
        <v>0</v>
      </c>
      <c r="R80" s="265">
        <f t="shared" si="12"/>
        <v>0</v>
      </c>
      <c r="S80" s="265">
        <f t="shared" si="12"/>
        <v>0</v>
      </c>
      <c r="T80" s="265">
        <f t="shared" si="12"/>
        <v>0</v>
      </c>
      <c r="U80" s="265">
        <f t="shared" si="12"/>
        <v>0</v>
      </c>
      <c r="V80" s="265">
        <f t="shared" si="12"/>
        <v>0</v>
      </c>
      <c r="W80" s="265">
        <f t="shared" si="12"/>
        <v>0</v>
      </c>
      <c r="X80" s="265">
        <f t="shared" si="12"/>
        <v>0</v>
      </c>
      <c r="Y80" s="265">
        <f t="shared" si="12"/>
        <v>0</v>
      </c>
      <c r="Z80" s="265">
        <f t="shared" si="12"/>
        <v>0</v>
      </c>
      <c r="AA80" s="265">
        <f t="shared" si="12"/>
        <v>0</v>
      </c>
      <c r="AB80" s="265">
        <f t="shared" si="12"/>
        <v>0</v>
      </c>
      <c r="AC80" s="265">
        <f t="shared" si="12"/>
        <v>0</v>
      </c>
      <c r="AD80" s="265">
        <f t="shared" si="12"/>
        <v>0</v>
      </c>
      <c r="AE80" s="265">
        <f t="shared" si="12"/>
        <v>0</v>
      </c>
    </row>
    <row r="81" spans="1:31" x14ac:dyDescent="0.2">
      <c r="A81" s="260" t="s">
        <v>432</v>
      </c>
      <c r="B81" s="271">
        <f>-'6.2. Паспорт фин осв ввод'!H24*1000000</f>
        <v>-20807672.606447995</v>
      </c>
      <c r="C81" s="271">
        <f>-'6.2. Паспорт фин осв ввод'!L24*1000000</f>
        <v>-7180374.5143560031</v>
      </c>
      <c r="D81" s="262"/>
      <c r="E81" s="262"/>
      <c r="F81" s="262"/>
      <c r="G81" s="262"/>
      <c r="H81" s="262"/>
      <c r="I81" s="262"/>
      <c r="J81" s="262"/>
      <c r="K81" s="262"/>
      <c r="L81" s="262"/>
      <c r="M81" s="262"/>
      <c r="N81" s="262"/>
      <c r="O81" s="262"/>
      <c r="P81" s="262"/>
      <c r="Q81" s="262"/>
      <c r="R81" s="262"/>
      <c r="S81" s="262"/>
      <c r="T81" s="262"/>
      <c r="U81" s="262"/>
      <c r="V81" s="262"/>
      <c r="W81" s="262"/>
      <c r="X81" s="262"/>
      <c r="Y81" s="262"/>
      <c r="Z81" s="262"/>
      <c r="AA81" s="262"/>
      <c r="AB81" s="262"/>
      <c r="AC81" s="262"/>
      <c r="AD81" s="262"/>
      <c r="AE81" s="262"/>
    </row>
    <row r="82" spans="1:31" x14ac:dyDescent="0.2">
      <c r="A82" s="260" t="s">
        <v>250</v>
      </c>
      <c r="B82" s="262">
        <v>0</v>
      </c>
      <c r="C82" s="262">
        <v>0</v>
      </c>
      <c r="D82" s="262">
        <v>0</v>
      </c>
      <c r="E82" s="262">
        <v>0</v>
      </c>
      <c r="F82" s="262">
        <v>0</v>
      </c>
      <c r="G82" s="262">
        <v>0</v>
      </c>
      <c r="H82" s="262">
        <v>0</v>
      </c>
      <c r="I82" s="262">
        <v>0</v>
      </c>
      <c r="J82" s="262">
        <v>0</v>
      </c>
      <c r="K82" s="262">
        <v>0</v>
      </c>
      <c r="L82" s="262">
        <v>0</v>
      </c>
      <c r="M82" s="262">
        <v>0</v>
      </c>
      <c r="N82" s="262">
        <v>0</v>
      </c>
      <c r="O82" s="262">
        <v>0</v>
      </c>
      <c r="P82" s="262">
        <v>0</v>
      </c>
      <c r="Q82" s="262">
        <v>0</v>
      </c>
      <c r="R82" s="262">
        <v>0</v>
      </c>
      <c r="S82" s="262">
        <v>0</v>
      </c>
      <c r="T82" s="262">
        <v>0</v>
      </c>
      <c r="U82" s="262">
        <v>0</v>
      </c>
      <c r="V82" s="262">
        <v>0</v>
      </c>
      <c r="W82" s="262">
        <v>0</v>
      </c>
      <c r="X82" s="262">
        <v>0</v>
      </c>
      <c r="Y82" s="262">
        <v>0</v>
      </c>
      <c r="Z82" s="262">
        <v>0</v>
      </c>
      <c r="AA82" s="262">
        <v>0</v>
      </c>
      <c r="AB82" s="262">
        <v>0</v>
      </c>
      <c r="AC82" s="262">
        <v>0</v>
      </c>
      <c r="AD82" s="262">
        <v>0</v>
      </c>
      <c r="AE82" s="262">
        <v>0</v>
      </c>
    </row>
    <row r="83" spans="1:31" x14ac:dyDescent="0.2">
      <c r="A83" s="263" t="s">
        <v>249</v>
      </c>
      <c r="B83" s="264">
        <f t="shared" ref="B83:AE83" si="13">SUM(B75:B82)</f>
        <v>-24969207.127737593</v>
      </c>
      <c r="C83" s="264">
        <f t="shared" si="13"/>
        <v>-8616449.4172272049</v>
      </c>
      <c r="D83" s="264">
        <f t="shared" si="13"/>
        <v>-496010.39064091526</v>
      </c>
      <c r="E83" s="264">
        <f t="shared" si="13"/>
        <v>-478906.58406709053</v>
      </c>
      <c r="F83" s="264">
        <f t="shared" si="13"/>
        <v>-461802.77749326581</v>
      </c>
      <c r="G83" s="264">
        <f t="shared" si="13"/>
        <v>-444698.97091944132</v>
      </c>
      <c r="H83" s="264">
        <f t="shared" si="13"/>
        <v>-427595.16434561659</v>
      </c>
      <c r="I83" s="264">
        <f t="shared" si="13"/>
        <v>-438479.40489259583</v>
      </c>
      <c r="J83" s="264">
        <f t="shared" si="13"/>
        <v>-393387.55119796738</v>
      </c>
      <c r="K83" s="264">
        <f t="shared" si="13"/>
        <v>-1383853.4409730863</v>
      </c>
      <c r="L83" s="264">
        <f t="shared" si="13"/>
        <v>-359179.93805031793</v>
      </c>
      <c r="M83" s="264">
        <f t="shared" si="13"/>
        <v>-342076.1314764932</v>
      </c>
      <c r="N83" s="264">
        <f t="shared" si="13"/>
        <v>-701256.06952681148</v>
      </c>
      <c r="O83" s="264">
        <f t="shared" si="13"/>
        <v>-335856.56544964795</v>
      </c>
      <c r="P83" s="264">
        <f t="shared" si="13"/>
        <v>-290764.71175501926</v>
      </c>
      <c r="Q83" s="264">
        <f t="shared" si="13"/>
        <v>-273660.90518119454</v>
      </c>
      <c r="R83" s="264">
        <f t="shared" si="13"/>
        <v>-256557.09860736981</v>
      </c>
      <c r="S83" s="264">
        <f t="shared" si="13"/>
        <v>-1247022.988382489</v>
      </c>
      <c r="T83" s="264">
        <f t="shared" si="13"/>
        <v>-222349.48545972048</v>
      </c>
      <c r="U83" s="264">
        <f t="shared" si="13"/>
        <v>-233233.72600669984</v>
      </c>
      <c r="V83" s="264">
        <f t="shared" si="13"/>
        <v>-188141.87231207115</v>
      </c>
      <c r="W83" s="264">
        <f t="shared" si="13"/>
        <v>-171038.06573824643</v>
      </c>
      <c r="X83" s="264">
        <f t="shared" si="13"/>
        <v>-153934.25916442182</v>
      </c>
      <c r="Y83" s="264">
        <f t="shared" si="13"/>
        <v>-136830.45259059709</v>
      </c>
      <c r="Z83" s="264">
        <f t="shared" si="13"/>
        <v>-119726.64601677249</v>
      </c>
      <c r="AA83" s="264">
        <f t="shared" si="13"/>
        <v>-1110192.5357918916</v>
      </c>
      <c r="AB83" s="264">
        <f t="shared" si="13"/>
        <v>-85519.032869123155</v>
      </c>
      <c r="AC83" s="264">
        <f t="shared" si="13"/>
        <v>-68415.226295298431</v>
      </c>
      <c r="AD83" s="264">
        <f t="shared" si="13"/>
        <v>-51311.419721473823</v>
      </c>
      <c r="AE83" s="264">
        <f t="shared" si="13"/>
        <v>-34207.613147649099</v>
      </c>
    </row>
    <row r="84" spans="1:31" x14ac:dyDescent="0.2">
      <c r="A84" s="263" t="s">
        <v>580</v>
      </c>
      <c r="B84" s="264">
        <f>SUM($B$83:B83)</f>
        <v>-24969207.127737593</v>
      </c>
      <c r="C84" s="264">
        <f>SUM($B$83:C83)</f>
        <v>-33585656.544964798</v>
      </c>
      <c r="D84" s="264">
        <f>SUM($B$83:D83)</f>
        <v>-34081666.935605712</v>
      </c>
      <c r="E84" s="264">
        <f>SUM($B$83:E83)</f>
        <v>-34560573.519672804</v>
      </c>
      <c r="F84" s="264">
        <f>SUM($B$83:F83)</f>
        <v>-35022376.297166072</v>
      </c>
      <c r="G84" s="264">
        <f>SUM($B$83:G83)</f>
        <v>-35467075.26808551</v>
      </c>
      <c r="H84" s="264">
        <f>SUM($B$83:H83)</f>
        <v>-35894670.432431124</v>
      </c>
      <c r="I84" s="264">
        <f>SUM($B$83:I83)</f>
        <v>-36333149.837323718</v>
      </c>
      <c r="J84" s="264">
        <f>SUM($B$83:J83)</f>
        <v>-36726537.388521686</v>
      </c>
      <c r="K84" s="264">
        <f>SUM($B$83:K83)</f>
        <v>-38110390.829494774</v>
      </c>
      <c r="L84" s="264">
        <f>SUM($B$83:L83)</f>
        <v>-38469570.767545089</v>
      </c>
      <c r="M84" s="264">
        <f>SUM($B$83:M83)</f>
        <v>-38811646.899021581</v>
      </c>
      <c r="N84" s="264">
        <f>SUM($B$83:N83)</f>
        <v>-39512902.968548395</v>
      </c>
      <c r="O84" s="264">
        <f>SUM($B$83:O83)</f>
        <v>-39848759.533998042</v>
      </c>
      <c r="P84" s="264">
        <f>SUM($B$83:P83)</f>
        <v>-40139524.245753065</v>
      </c>
      <c r="Q84" s="264">
        <f>SUM($B$83:Q83)</f>
        <v>-40413185.150934257</v>
      </c>
      <c r="R84" s="264">
        <f>SUM($B$83:R83)</f>
        <v>-40669742.249541625</v>
      </c>
      <c r="S84" s="264">
        <f>SUM($B$83:S83)</f>
        <v>-41916765.237924114</v>
      </c>
      <c r="T84" s="264">
        <f>SUM($B$83:T83)</f>
        <v>-42139114.723383836</v>
      </c>
      <c r="U84" s="264">
        <f>SUM($B$83:U83)</f>
        <v>-42372348.449390538</v>
      </c>
      <c r="V84" s="264">
        <f>SUM($B$83:V83)</f>
        <v>-42560490.321702607</v>
      </c>
      <c r="W84" s="264">
        <f>SUM($B$83:W83)</f>
        <v>-42731528.387440853</v>
      </c>
      <c r="X84" s="264">
        <f>SUM($B$83:X83)</f>
        <v>-42885462.646605276</v>
      </c>
      <c r="Y84" s="264">
        <f>SUM($B$83:Y83)</f>
        <v>-43022293.099195875</v>
      </c>
      <c r="Z84" s="264">
        <f>SUM($B$83:Z83)</f>
        <v>-43142019.745212644</v>
      </c>
      <c r="AA84" s="264">
        <f>SUM($B$83:AA83)</f>
        <v>-44252212.281004533</v>
      </c>
      <c r="AB84" s="264">
        <f>SUM($B$83:AB83)</f>
        <v>-44337731.313873656</v>
      </c>
      <c r="AC84" s="264">
        <f>SUM($B$83:AC83)</f>
        <v>-44406146.540168956</v>
      </c>
      <c r="AD84" s="264">
        <f>SUM($B$83:AD83)</f>
        <v>-44457457.959890433</v>
      </c>
      <c r="AE84" s="264">
        <f>SUM($B$83:AE83)</f>
        <v>-44491665.573038079</v>
      </c>
    </row>
    <row r="85" spans="1:31" x14ac:dyDescent="0.2">
      <c r="A85" s="272" t="s">
        <v>433</v>
      </c>
      <c r="B85" s="273">
        <f t="shared" ref="B85:AE85" si="14">1/POWER((1+$B$43),B73)</f>
        <v>0.9128709291752769</v>
      </c>
      <c r="C85" s="273">
        <f t="shared" si="14"/>
        <v>0.7607257743127307</v>
      </c>
      <c r="D85" s="273">
        <f t="shared" si="14"/>
        <v>0.63393814526060899</v>
      </c>
      <c r="E85" s="273">
        <f t="shared" si="14"/>
        <v>0.52828178771717416</v>
      </c>
      <c r="F85" s="273">
        <f t="shared" si="14"/>
        <v>0.44023482309764517</v>
      </c>
      <c r="G85" s="273">
        <f t="shared" si="14"/>
        <v>0.36686235258137107</v>
      </c>
      <c r="H85" s="273">
        <f t="shared" si="14"/>
        <v>0.30571862715114251</v>
      </c>
      <c r="I85" s="273">
        <f t="shared" si="14"/>
        <v>0.25476552262595203</v>
      </c>
      <c r="J85" s="273">
        <f t="shared" si="14"/>
        <v>0.21230460218829345</v>
      </c>
      <c r="K85" s="273">
        <f t="shared" si="14"/>
        <v>0.17692050182357785</v>
      </c>
      <c r="L85" s="273">
        <f t="shared" si="14"/>
        <v>0.14743375151964822</v>
      </c>
      <c r="M85" s="273">
        <f t="shared" si="14"/>
        <v>0.12286145959970685</v>
      </c>
      <c r="N85" s="273">
        <f t="shared" si="14"/>
        <v>0.10238454966642239</v>
      </c>
      <c r="O85" s="273">
        <f t="shared" si="14"/>
        <v>8.5320458055351975E-2</v>
      </c>
      <c r="P85" s="273">
        <f t="shared" si="14"/>
        <v>7.1100381712793329E-2</v>
      </c>
      <c r="Q85" s="273">
        <f t="shared" si="14"/>
        <v>5.9250318093994447E-2</v>
      </c>
      <c r="R85" s="273">
        <f t="shared" si="14"/>
        <v>4.9375265078328692E-2</v>
      </c>
      <c r="S85" s="273">
        <f t="shared" si="14"/>
        <v>4.1146054231940586E-2</v>
      </c>
      <c r="T85" s="273">
        <f t="shared" si="14"/>
        <v>3.4288378526617161E-2</v>
      </c>
      <c r="U85" s="273">
        <f t="shared" si="14"/>
        <v>2.8573648772180955E-2</v>
      </c>
      <c r="V85" s="273">
        <f t="shared" si="14"/>
        <v>2.3811373976817471E-2</v>
      </c>
      <c r="W85" s="273">
        <f t="shared" si="14"/>
        <v>1.9842811647347896E-2</v>
      </c>
      <c r="X85" s="273">
        <f t="shared" si="14"/>
        <v>1.6535676372789913E-2</v>
      </c>
      <c r="Y85" s="273">
        <f t="shared" si="14"/>
        <v>1.377973031065826E-2</v>
      </c>
      <c r="Z85" s="273">
        <f t="shared" si="14"/>
        <v>1.1483108592215211E-2</v>
      </c>
      <c r="AA85" s="273">
        <f t="shared" si="14"/>
        <v>9.5692571601793501E-3</v>
      </c>
      <c r="AB85" s="273">
        <f t="shared" si="14"/>
        <v>7.9743809668161216E-3</v>
      </c>
      <c r="AC85" s="273">
        <f t="shared" si="14"/>
        <v>6.6453174723467663E-3</v>
      </c>
      <c r="AD85" s="273">
        <f t="shared" si="14"/>
        <v>5.5377645602889755E-3</v>
      </c>
      <c r="AE85" s="273">
        <f t="shared" si="14"/>
        <v>4.6148038002408118E-3</v>
      </c>
    </row>
    <row r="86" spans="1:31" x14ac:dyDescent="0.2">
      <c r="A86" s="270" t="s">
        <v>581</v>
      </c>
      <c r="B86" s="264">
        <f t="shared" ref="B86:AE86" si="15">B83*B85</f>
        <v>-22793663.311467763</v>
      </c>
      <c r="C86" s="264">
        <f t="shared" si="15"/>
        <v>-6554755.1547466423</v>
      </c>
      <c r="D86" s="264">
        <f t="shared" si="15"/>
        <v>-314439.90707289195</v>
      </c>
      <c r="E86" s="264">
        <f t="shared" si="15"/>
        <v>-252997.62638048775</v>
      </c>
      <c r="F86" s="264">
        <f t="shared" si="15"/>
        <v>-203301.66405574908</v>
      </c>
      <c r="G86" s="264">
        <f t="shared" si="15"/>
        <v>-163143.31066202096</v>
      </c>
      <c r="H86" s="264">
        <f t="shared" si="15"/>
        <v>-130723.80662020907</v>
      </c>
      <c r="I86" s="264">
        <f t="shared" si="15"/>
        <v>-111709.43474817861</v>
      </c>
      <c r="J86" s="264">
        <f t="shared" si="15"/>
        <v>-83517.987562911381</v>
      </c>
      <c r="K86" s="264">
        <f t="shared" si="15"/>
        <v>-244832.04522724339</v>
      </c>
      <c r="L86" s="264">
        <f t="shared" si="15"/>
        <v>-52955.245737353216</v>
      </c>
      <c r="M86" s="264">
        <f t="shared" si="15"/>
        <v>-42027.972807423175</v>
      </c>
      <c r="N86" s="264">
        <f t="shared" si="15"/>
        <v>-71797.786879347987</v>
      </c>
      <c r="O86" s="264">
        <f t="shared" si="15"/>
        <v>-28655.436005061263</v>
      </c>
      <c r="P86" s="264">
        <f t="shared" si="15"/>
        <v>-20673.481994392194</v>
      </c>
      <c r="Q86" s="264">
        <f t="shared" si="15"/>
        <v>-16214.495681876229</v>
      </c>
      <c r="R86" s="264">
        <f t="shared" si="15"/>
        <v>-12667.574751465798</v>
      </c>
      <c r="S86" s="264">
        <f t="shared" si="15"/>
        <v>-51310.075508462505</v>
      </c>
      <c r="T86" s="264">
        <f t="shared" si="15"/>
        <v>-7624.0033226414544</v>
      </c>
      <c r="U86" s="264">
        <f t="shared" si="15"/>
        <v>-6664.338568742528</v>
      </c>
      <c r="V86" s="264">
        <f t="shared" si="15"/>
        <v>-4479.9164823213669</v>
      </c>
      <c r="W86" s="264">
        <f t="shared" si="15"/>
        <v>-3393.8761229707311</v>
      </c>
      <c r="X86" s="264">
        <f t="shared" si="15"/>
        <v>-2545.4070922280489</v>
      </c>
      <c r="Y86" s="264">
        <f t="shared" si="15"/>
        <v>-1885.4867349837389</v>
      </c>
      <c r="Z86" s="264">
        <f t="shared" si="15"/>
        <v>-1374.8340775923093</v>
      </c>
      <c r="AA86" s="264">
        <f t="shared" si="15"/>
        <v>-10623.717872304229</v>
      </c>
      <c r="AB86" s="264">
        <f t="shared" si="15"/>
        <v>-681.96134801205801</v>
      </c>
      <c r="AC86" s="264">
        <f t="shared" si="15"/>
        <v>-454.6408986747046</v>
      </c>
      <c r="AD86" s="264">
        <f t="shared" si="15"/>
        <v>-284.15056167169053</v>
      </c>
      <c r="AE86" s="264">
        <f t="shared" si="15"/>
        <v>-157.86142315093861</v>
      </c>
    </row>
    <row r="87" spans="1:31" x14ac:dyDescent="0.2">
      <c r="A87" s="270" t="s">
        <v>582</v>
      </c>
      <c r="B87" s="264">
        <f>SUM($B$86:B86)</f>
        <v>-22793663.311467763</v>
      </c>
      <c r="C87" s="264">
        <f>SUM($B$86:C86)</f>
        <v>-29348418.466214404</v>
      </c>
      <c r="D87" s="264">
        <f>SUM($B$86:D86)</f>
        <v>-29662858.373287294</v>
      </c>
      <c r="E87" s="264">
        <f>SUM($B$86:E86)</f>
        <v>-29915855.999667782</v>
      </c>
      <c r="F87" s="264">
        <f>SUM($B$86:F86)</f>
        <v>-30119157.663723532</v>
      </c>
      <c r="G87" s="264">
        <f>SUM($B$86:G86)</f>
        <v>-30282300.974385552</v>
      </c>
      <c r="H87" s="264">
        <f>SUM($B$86:H86)</f>
        <v>-30413024.781005763</v>
      </c>
      <c r="I87" s="264">
        <f>SUM($B$86:I86)</f>
        <v>-30524734.215753943</v>
      </c>
      <c r="J87" s="264">
        <f>SUM($B$86:J86)</f>
        <v>-30608252.203316852</v>
      </c>
      <c r="K87" s="264">
        <f>SUM($B$86:K86)</f>
        <v>-30853084.248544097</v>
      </c>
      <c r="L87" s="264">
        <f>SUM($B$86:L86)</f>
        <v>-30906039.494281448</v>
      </c>
      <c r="M87" s="264">
        <f>SUM($B$86:M86)</f>
        <v>-30948067.467088871</v>
      </c>
      <c r="N87" s="264">
        <f>SUM($B$86:N86)</f>
        <v>-31019865.25396822</v>
      </c>
      <c r="O87" s="264">
        <f>SUM($B$86:O86)</f>
        <v>-31048520.68997328</v>
      </c>
      <c r="P87" s="264">
        <f>SUM($B$86:P86)</f>
        <v>-31069194.17196767</v>
      </c>
      <c r="Q87" s="264">
        <f>SUM($B$86:Q86)</f>
        <v>-31085408.667649545</v>
      </c>
      <c r="R87" s="264">
        <f>SUM($B$86:R86)</f>
        <v>-31098076.242401011</v>
      </c>
      <c r="S87" s="264">
        <f>SUM($B$86:S86)</f>
        <v>-31149386.317909475</v>
      </c>
      <c r="T87" s="264">
        <f>SUM($B$86:T86)</f>
        <v>-31157010.321232118</v>
      </c>
      <c r="U87" s="264">
        <f>SUM($B$86:U86)</f>
        <v>-31163674.659800861</v>
      </c>
      <c r="V87" s="264">
        <f>SUM($B$86:V86)</f>
        <v>-31168154.576283183</v>
      </c>
      <c r="W87" s="264">
        <f>SUM($B$86:W86)</f>
        <v>-31171548.452406153</v>
      </c>
      <c r="X87" s="264">
        <f>SUM($B$86:X86)</f>
        <v>-31174093.859498382</v>
      </c>
      <c r="Y87" s="264">
        <f>SUM($B$86:Y86)</f>
        <v>-31175979.346233364</v>
      </c>
      <c r="Z87" s="264">
        <f>SUM($B$86:Z86)</f>
        <v>-31177354.180310957</v>
      </c>
      <c r="AA87" s="264">
        <f>SUM($B$86:AA86)</f>
        <v>-31187977.89818326</v>
      </c>
      <c r="AB87" s="264">
        <f>SUM($B$86:AB86)</f>
        <v>-31188659.859531272</v>
      </c>
      <c r="AC87" s="264">
        <f>SUM($B$86:AC86)</f>
        <v>-31189114.500429947</v>
      </c>
      <c r="AD87" s="264">
        <f>SUM($B$86:AD86)</f>
        <v>-31189398.650991619</v>
      </c>
      <c r="AE87" s="264">
        <f>SUM($B$86:AE86)</f>
        <v>-31189556.512414768</v>
      </c>
    </row>
    <row r="88" spans="1:31" x14ac:dyDescent="0.2">
      <c r="A88" s="270" t="s">
        <v>583</v>
      </c>
      <c r="B88" s="274">
        <f>IF((ISERR(IRR($B$83:B83))),0,IF(IRR($B$83:B83)&lt;0,0,IRR($B$83:B83)))</f>
        <v>0</v>
      </c>
      <c r="C88" s="274">
        <f>IF((ISERR(IRR($B$83:C83))),0,IF(IRR($B$83:C83)&lt;0,0,IRR($B$83:C83)))</f>
        <v>0</v>
      </c>
      <c r="D88" s="274">
        <f>IF((ISERR(IRR($B$83:D83))),0,IF(IRR($B$83:D83)&lt;0,0,IRR($B$83:D83)))</f>
        <v>0</v>
      </c>
      <c r="E88" s="274">
        <f>IF((ISERR(IRR($B$83:E83))),0,IF(IRR($B$83:E83)&lt;0,0,IRR($B$83:E83)))</f>
        <v>0</v>
      </c>
      <c r="F88" s="274">
        <f>IF((ISERR(IRR($B$83:F83))),0,IF(IRR($B$83:F83)&lt;0,0,IRR($B$83:F83)))</f>
        <v>0</v>
      </c>
      <c r="G88" s="274">
        <f>IF((ISERR(IRR($B$83:G83))),0,IF(IRR($B$83:G83)&lt;0,0,IRR($B$83:G83)))</f>
        <v>0</v>
      </c>
      <c r="H88" s="274">
        <f>IF((ISERR(IRR($B$83:H83))),0,IF(IRR($B$83:H83)&lt;0,0,IRR($B$83:H83)))</f>
        <v>0</v>
      </c>
      <c r="I88" s="274">
        <f>IF((ISERR(IRR($B$83:I83))),0,IF(IRR($B$83:I83)&lt;0,0,IRR($B$83:I83)))</f>
        <v>0</v>
      </c>
      <c r="J88" s="274">
        <f>IF((ISERR(IRR($B$83:J83))),0,IF(IRR($B$83:J83)&lt;0,0,IRR($B$83:J83)))</f>
        <v>0</v>
      </c>
      <c r="K88" s="274">
        <f>IF((ISERR(IRR($B$83:K83))),0,IF(IRR($B$83:K83)&lt;0,0,IRR($B$83:K83)))</f>
        <v>0</v>
      </c>
      <c r="L88" s="274">
        <f>IF((ISERR(IRR($B$83:L83))),0,IF(IRR($B$83:L83)&lt;0,0,IRR($B$83:L83)))</f>
        <v>0</v>
      </c>
      <c r="M88" s="274">
        <f>IF((ISERR(IRR($B$83:M83))),0,IF(IRR($B$83:M83)&lt;0,0,IRR($B$83:M83)))</f>
        <v>0</v>
      </c>
      <c r="N88" s="274">
        <f>IF((ISERR(IRR($B$83:N83))),0,IF(IRR($B$83:N83)&lt;0,0,IRR($B$83:N83)))</f>
        <v>0</v>
      </c>
      <c r="O88" s="274">
        <f>IF((ISERR(IRR($B$83:O83))),0,IF(IRR($B$83:O83)&lt;0,0,IRR($B$83:O83)))</f>
        <v>0</v>
      </c>
      <c r="P88" s="274">
        <f>IF((ISERR(IRR($B$83:P83))),0,IF(IRR($B$83:P83)&lt;0,0,IRR($B$83:P83)))</f>
        <v>0</v>
      </c>
      <c r="Q88" s="274">
        <f>IF((ISERR(IRR($B$83:Q83))),0,IF(IRR($B$83:Q83)&lt;0,0,IRR($B$83:Q83)))</f>
        <v>0</v>
      </c>
      <c r="R88" s="274">
        <f>IF((ISERR(IRR($B$83:R83))),0,IF(IRR($B$83:R83)&lt;0,0,IRR($B$83:R83)))</f>
        <v>0</v>
      </c>
      <c r="S88" s="274">
        <f>IF((ISERR(IRR($B$83:S83))),0,IF(IRR($B$83:S83)&lt;0,0,IRR($B$83:S83)))</f>
        <v>0</v>
      </c>
      <c r="T88" s="274">
        <f>IF((ISERR(IRR($B$83:T83))),0,IF(IRR($B$83:T83)&lt;0,0,IRR($B$83:T83)))</f>
        <v>0</v>
      </c>
      <c r="U88" s="274">
        <f>IF((ISERR(IRR($B$83:U83))),0,IF(IRR($B$83:U83)&lt;0,0,IRR($B$83:U83)))</f>
        <v>0</v>
      </c>
      <c r="V88" s="274">
        <f>IF((ISERR(IRR($B$83:V83))),0,IF(IRR($B$83:V83)&lt;0,0,IRR($B$83:V83)))</f>
        <v>0</v>
      </c>
      <c r="W88" s="274">
        <f>IF((ISERR(IRR($B$83:W83))),0,IF(IRR($B$83:W83)&lt;0,0,IRR($B$83:W83)))</f>
        <v>0</v>
      </c>
      <c r="X88" s="274">
        <f>IF((ISERR(IRR($B$83:X83))),0,IF(IRR($B$83:X83)&lt;0,0,IRR($B$83:X83)))</f>
        <v>0</v>
      </c>
      <c r="Y88" s="274">
        <f>IF((ISERR(IRR($B$83:Y83))),0,IF(IRR($B$83:Y83)&lt;0,0,IRR($B$83:Y83)))</f>
        <v>0</v>
      </c>
      <c r="Z88" s="274">
        <f>IF((ISERR(IRR($B$83:Z83))),0,IF(IRR($B$83:Z83)&lt;0,0,IRR($B$83:Z83)))</f>
        <v>0</v>
      </c>
      <c r="AA88" s="274">
        <f>IF((ISERR(IRR($B$83:AA83))),0,IF(IRR($B$83:AA83)&lt;0,0,IRR($B$83:AA83)))</f>
        <v>0</v>
      </c>
      <c r="AB88" s="274">
        <f>IF((ISERR(IRR($B$83:AB83))),0,IF(IRR($B$83:AB83)&lt;0,0,IRR($B$83:AB83)))</f>
        <v>0</v>
      </c>
      <c r="AC88" s="274">
        <f>IF((ISERR(IRR($B$83:AC83))),0,IF(IRR($B$83:AC83)&lt;0,0,IRR($B$83:AC83)))</f>
        <v>0</v>
      </c>
      <c r="AD88" s="274">
        <f>IF((ISERR(IRR($B$83:AD83))),0,IF(IRR($B$83:AD83)&lt;0,0,IRR($B$83:AD83)))</f>
        <v>0</v>
      </c>
      <c r="AE88" s="274">
        <f>IF((ISERR(IRR($B$83:AE83))),0,IF(IRR($B$83:AE83)&lt;0,0,IRR($B$83:AE83)))</f>
        <v>0</v>
      </c>
    </row>
    <row r="89" spans="1:31" x14ac:dyDescent="0.2">
      <c r="A89" s="270" t="s">
        <v>584</v>
      </c>
      <c r="B89" s="275">
        <f t="shared" ref="B89:AE89" si="16">IF(AND(B84&gt;0,A84&lt;0),(B74-(B84/(B84-A84))),0)</f>
        <v>0</v>
      </c>
      <c r="C89" s="275">
        <f t="shared" si="16"/>
        <v>0</v>
      </c>
      <c r="D89" s="275">
        <f t="shared" si="16"/>
        <v>0</v>
      </c>
      <c r="E89" s="275">
        <f t="shared" si="16"/>
        <v>0</v>
      </c>
      <c r="F89" s="275">
        <f t="shared" si="16"/>
        <v>0</v>
      </c>
      <c r="G89" s="275">
        <f t="shared" si="16"/>
        <v>0</v>
      </c>
      <c r="H89" s="275">
        <f t="shared" si="16"/>
        <v>0</v>
      </c>
      <c r="I89" s="275">
        <f t="shared" si="16"/>
        <v>0</v>
      </c>
      <c r="J89" s="275">
        <f t="shared" si="16"/>
        <v>0</v>
      </c>
      <c r="K89" s="275">
        <f t="shared" si="16"/>
        <v>0</v>
      </c>
      <c r="L89" s="275">
        <f t="shared" si="16"/>
        <v>0</v>
      </c>
      <c r="M89" s="275">
        <f t="shared" si="16"/>
        <v>0</v>
      </c>
      <c r="N89" s="275">
        <f t="shared" si="16"/>
        <v>0</v>
      </c>
      <c r="O89" s="275">
        <f t="shared" si="16"/>
        <v>0</v>
      </c>
      <c r="P89" s="275">
        <f t="shared" si="16"/>
        <v>0</v>
      </c>
      <c r="Q89" s="275">
        <f t="shared" si="16"/>
        <v>0</v>
      </c>
      <c r="R89" s="275">
        <f t="shared" si="16"/>
        <v>0</v>
      </c>
      <c r="S89" s="275">
        <f t="shared" si="16"/>
        <v>0</v>
      </c>
      <c r="T89" s="275">
        <f t="shared" si="16"/>
        <v>0</v>
      </c>
      <c r="U89" s="275">
        <f t="shared" si="16"/>
        <v>0</v>
      </c>
      <c r="V89" s="275">
        <f t="shared" si="16"/>
        <v>0</v>
      </c>
      <c r="W89" s="275">
        <f t="shared" si="16"/>
        <v>0</v>
      </c>
      <c r="X89" s="275">
        <f t="shared" si="16"/>
        <v>0</v>
      </c>
      <c r="Y89" s="275">
        <f t="shared" si="16"/>
        <v>0</v>
      </c>
      <c r="Z89" s="275">
        <f t="shared" si="16"/>
        <v>0</v>
      </c>
      <c r="AA89" s="275">
        <f t="shared" si="16"/>
        <v>0</v>
      </c>
      <c r="AB89" s="275">
        <f t="shared" si="16"/>
        <v>0</v>
      </c>
      <c r="AC89" s="275">
        <f t="shared" si="16"/>
        <v>0</v>
      </c>
      <c r="AD89" s="275">
        <f t="shared" si="16"/>
        <v>0</v>
      </c>
      <c r="AE89" s="275">
        <f t="shared" si="16"/>
        <v>0</v>
      </c>
    </row>
    <row r="90" spans="1:31" ht="13.5" thickBot="1" x14ac:dyDescent="0.25">
      <c r="A90" s="276" t="s">
        <v>585</v>
      </c>
      <c r="B90" s="277">
        <f t="shared" ref="B90:AE90" si="17">IF(AND(B87&gt;0,A87&lt;0),(B74-(B87/(B87-A87))),0)</f>
        <v>0</v>
      </c>
      <c r="C90" s="277">
        <f t="shared" si="17"/>
        <v>0</v>
      </c>
      <c r="D90" s="277">
        <f t="shared" si="17"/>
        <v>0</v>
      </c>
      <c r="E90" s="277">
        <f t="shared" si="17"/>
        <v>0</v>
      </c>
      <c r="F90" s="277">
        <f t="shared" si="17"/>
        <v>0</v>
      </c>
      <c r="G90" s="277">
        <f t="shared" si="17"/>
        <v>0</v>
      </c>
      <c r="H90" s="277">
        <f t="shared" si="17"/>
        <v>0</v>
      </c>
      <c r="I90" s="277">
        <f t="shared" si="17"/>
        <v>0</v>
      </c>
      <c r="J90" s="277">
        <f t="shared" si="17"/>
        <v>0</v>
      </c>
      <c r="K90" s="277">
        <f t="shared" si="17"/>
        <v>0</v>
      </c>
      <c r="L90" s="277">
        <f t="shared" si="17"/>
        <v>0</v>
      </c>
      <c r="M90" s="277">
        <f t="shared" si="17"/>
        <v>0</v>
      </c>
      <c r="N90" s="277">
        <f t="shared" si="17"/>
        <v>0</v>
      </c>
      <c r="O90" s="277">
        <f t="shared" si="17"/>
        <v>0</v>
      </c>
      <c r="P90" s="277">
        <f t="shared" si="17"/>
        <v>0</v>
      </c>
      <c r="Q90" s="277">
        <f t="shared" si="17"/>
        <v>0</v>
      </c>
      <c r="R90" s="277">
        <f t="shared" si="17"/>
        <v>0</v>
      </c>
      <c r="S90" s="277">
        <f t="shared" si="17"/>
        <v>0</v>
      </c>
      <c r="T90" s="277">
        <f t="shared" si="17"/>
        <v>0</v>
      </c>
      <c r="U90" s="277">
        <f t="shared" si="17"/>
        <v>0</v>
      </c>
      <c r="V90" s="277">
        <f t="shared" si="17"/>
        <v>0</v>
      </c>
      <c r="W90" s="277">
        <f t="shared" si="17"/>
        <v>0</v>
      </c>
      <c r="X90" s="277">
        <f t="shared" si="17"/>
        <v>0</v>
      </c>
      <c r="Y90" s="277">
        <f t="shared" si="17"/>
        <v>0</v>
      </c>
      <c r="Z90" s="277">
        <f t="shared" si="17"/>
        <v>0</v>
      </c>
      <c r="AA90" s="277">
        <f t="shared" si="17"/>
        <v>0</v>
      </c>
      <c r="AB90" s="277">
        <f t="shared" si="17"/>
        <v>0</v>
      </c>
      <c r="AC90" s="277">
        <f t="shared" si="17"/>
        <v>0</v>
      </c>
      <c r="AD90" s="277">
        <f t="shared" si="17"/>
        <v>0</v>
      </c>
      <c r="AE90" s="277">
        <f t="shared" si="17"/>
        <v>0</v>
      </c>
    </row>
    <row r="91" spans="1:31" x14ac:dyDescent="0.2">
      <c r="A91" s="278"/>
      <c r="B91" s="278">
        <v>2025</v>
      </c>
      <c r="C91" s="278">
        <f t="shared" ref="C91:R92" si="18">B91+1</f>
        <v>2026</v>
      </c>
      <c r="D91" s="278">
        <f t="shared" si="18"/>
        <v>2027</v>
      </c>
      <c r="E91" s="278">
        <f t="shared" si="18"/>
        <v>2028</v>
      </c>
      <c r="F91" s="278">
        <f t="shared" si="18"/>
        <v>2029</v>
      </c>
      <c r="G91" s="278">
        <f t="shared" si="18"/>
        <v>2030</v>
      </c>
      <c r="H91" s="278">
        <f t="shared" si="18"/>
        <v>2031</v>
      </c>
      <c r="I91" s="278">
        <f t="shared" si="18"/>
        <v>2032</v>
      </c>
      <c r="J91" s="278">
        <f t="shared" si="18"/>
        <v>2033</v>
      </c>
      <c r="K91" s="278">
        <f t="shared" si="18"/>
        <v>2034</v>
      </c>
      <c r="L91" s="278">
        <f t="shared" si="18"/>
        <v>2035</v>
      </c>
      <c r="M91" s="278">
        <f t="shared" si="18"/>
        <v>2036</v>
      </c>
      <c r="N91" s="278">
        <f t="shared" si="18"/>
        <v>2037</v>
      </c>
      <c r="O91" s="278">
        <f t="shared" si="18"/>
        <v>2038</v>
      </c>
      <c r="P91" s="278">
        <f t="shared" si="18"/>
        <v>2039</v>
      </c>
      <c r="Q91" s="278">
        <f t="shared" si="18"/>
        <v>2040</v>
      </c>
      <c r="R91" s="278">
        <f t="shared" si="18"/>
        <v>2041</v>
      </c>
      <c r="S91" s="278">
        <f t="shared" ref="S91:AE92" si="19">R91+1</f>
        <v>2042</v>
      </c>
      <c r="T91" s="278">
        <f t="shared" si="19"/>
        <v>2043</v>
      </c>
      <c r="U91" s="278">
        <f t="shared" si="19"/>
        <v>2044</v>
      </c>
      <c r="V91" s="278">
        <f t="shared" si="19"/>
        <v>2045</v>
      </c>
      <c r="W91" s="278">
        <f t="shared" si="19"/>
        <v>2046</v>
      </c>
      <c r="X91" s="278">
        <f t="shared" si="19"/>
        <v>2047</v>
      </c>
      <c r="Y91" s="278">
        <f t="shared" si="19"/>
        <v>2048</v>
      </c>
      <c r="Z91" s="278">
        <f t="shared" si="19"/>
        <v>2049</v>
      </c>
      <c r="AA91" s="278">
        <f t="shared" si="19"/>
        <v>2050</v>
      </c>
      <c r="AB91" s="278">
        <f t="shared" si="19"/>
        <v>2051</v>
      </c>
      <c r="AC91" s="278">
        <f t="shared" si="19"/>
        <v>2052</v>
      </c>
      <c r="AD91" s="278">
        <f t="shared" si="19"/>
        <v>2053</v>
      </c>
      <c r="AE91" s="278">
        <f t="shared" si="19"/>
        <v>2054</v>
      </c>
    </row>
    <row r="92" spans="1:31" x14ac:dyDescent="0.2">
      <c r="B92" s="207">
        <v>1</v>
      </c>
      <c r="C92" s="207">
        <f>B92+1</f>
        <v>2</v>
      </c>
      <c r="D92" s="207">
        <f t="shared" si="18"/>
        <v>3</v>
      </c>
      <c r="E92" s="207">
        <f t="shared" si="18"/>
        <v>4</v>
      </c>
      <c r="F92" s="207">
        <f t="shared" si="18"/>
        <v>5</v>
      </c>
      <c r="G92" s="207">
        <f t="shared" si="18"/>
        <v>6</v>
      </c>
      <c r="H92" s="207">
        <f t="shared" si="18"/>
        <v>7</v>
      </c>
      <c r="I92" s="207">
        <f t="shared" si="18"/>
        <v>8</v>
      </c>
      <c r="J92" s="207">
        <f t="shared" si="18"/>
        <v>9</v>
      </c>
      <c r="K92" s="207">
        <f t="shared" si="18"/>
        <v>10</v>
      </c>
      <c r="L92" s="207">
        <f t="shared" si="18"/>
        <v>11</v>
      </c>
      <c r="M92" s="207">
        <f t="shared" si="18"/>
        <v>12</v>
      </c>
      <c r="N92" s="207">
        <f t="shared" si="18"/>
        <v>13</v>
      </c>
      <c r="O92" s="207">
        <f t="shared" si="18"/>
        <v>14</v>
      </c>
      <c r="P92" s="207">
        <f t="shared" si="18"/>
        <v>15</v>
      </c>
      <c r="Q92" s="207">
        <f t="shared" si="18"/>
        <v>16</v>
      </c>
      <c r="R92" s="207">
        <f t="shared" si="18"/>
        <v>17</v>
      </c>
      <c r="S92" s="207">
        <f t="shared" si="19"/>
        <v>18</v>
      </c>
      <c r="T92" s="207">
        <f t="shared" si="19"/>
        <v>19</v>
      </c>
      <c r="U92" s="207">
        <f t="shared" si="19"/>
        <v>20</v>
      </c>
      <c r="V92" s="207">
        <f t="shared" si="19"/>
        <v>21</v>
      </c>
      <c r="W92" s="207">
        <f t="shared" si="19"/>
        <v>22</v>
      </c>
      <c r="X92" s="207">
        <f t="shared" si="19"/>
        <v>23</v>
      </c>
      <c r="Y92" s="207">
        <f t="shared" si="19"/>
        <v>24</v>
      </c>
      <c r="Z92" s="207">
        <f t="shared" si="19"/>
        <v>25</v>
      </c>
      <c r="AA92" s="207">
        <f t="shared" si="19"/>
        <v>26</v>
      </c>
      <c r="AB92" s="207">
        <f t="shared" si="19"/>
        <v>27</v>
      </c>
      <c r="AC92" s="207">
        <f t="shared" si="19"/>
        <v>28</v>
      </c>
      <c r="AD92" s="207">
        <f t="shared" si="19"/>
        <v>29</v>
      </c>
      <c r="AE92" s="207">
        <f t="shared" si="19"/>
        <v>30</v>
      </c>
    </row>
    <row r="93" spans="1:31" ht="66.75" customHeight="1" x14ac:dyDescent="0.2">
      <c r="A93" s="348" t="s">
        <v>586</v>
      </c>
      <c r="B93" s="348"/>
      <c r="C93" s="348"/>
      <c r="D93" s="348"/>
      <c r="E93" s="348"/>
      <c r="F93" s="348"/>
      <c r="G93" s="348"/>
      <c r="H93" s="348"/>
      <c r="I93" s="348"/>
      <c r="J93" s="348"/>
      <c r="K93" s="348"/>
      <c r="L93" s="348"/>
      <c r="M93" s="348"/>
      <c r="N93" s="348"/>
      <c r="O93" s="348"/>
      <c r="P93" s="348"/>
      <c r="Q93" s="348"/>
      <c r="R93" s="348"/>
      <c r="S93" s="348"/>
      <c r="T93" s="348"/>
      <c r="U93" s="348"/>
      <c r="V93" s="348"/>
      <c r="W93" s="348"/>
      <c r="X93" s="348"/>
      <c r="Y93" s="348"/>
      <c r="Z93" s="348"/>
      <c r="AA93" s="348"/>
      <c r="AB93" s="348"/>
      <c r="AC93" s="348"/>
    </row>
    <row r="94" spans="1:31" hidden="1" x14ac:dyDescent="0.2">
      <c r="A94" s="348"/>
      <c r="B94" s="348"/>
      <c r="C94" s="348"/>
      <c r="D94" s="348"/>
      <c r="E94" s="348"/>
      <c r="F94" s="348"/>
      <c r="G94" s="348"/>
      <c r="H94" s="348"/>
      <c r="I94" s="348"/>
      <c r="N94" s="207"/>
    </row>
    <row r="95" spans="1:31" hidden="1" x14ac:dyDescent="0.2">
      <c r="C95" s="279"/>
      <c r="N95" s="207"/>
    </row>
    <row r="96" spans="1:31" hidden="1" x14ac:dyDescent="0.2">
      <c r="N96" s="207"/>
    </row>
    <row r="97" spans="2:14" s="197" customFormat="1" hidden="1" x14ac:dyDescent="0.2">
      <c r="B97" s="283">
        <v>2022</v>
      </c>
      <c r="C97" s="283">
        <v>2023</v>
      </c>
      <c r="D97" s="283">
        <v>2024</v>
      </c>
      <c r="E97" s="283">
        <v>2025</v>
      </c>
      <c r="F97" s="283">
        <v>2026</v>
      </c>
      <c r="G97" s="207"/>
      <c r="N97" s="207"/>
    </row>
    <row r="98" spans="2:14" s="197" customFormat="1" hidden="1" x14ac:dyDescent="0.2">
      <c r="B98" s="283">
        <v>114.63142733059399</v>
      </c>
      <c r="C98" s="283">
        <v>106.968874824043</v>
      </c>
      <c r="D98" s="283">
        <v>105.27260918901</v>
      </c>
      <c r="E98" s="283">
        <v>104.761984318213</v>
      </c>
      <c r="F98" s="283">
        <v>104.57995653007001</v>
      </c>
      <c r="G98" s="207"/>
      <c r="N98" s="207"/>
    </row>
    <row r="99" spans="2:14" s="197" customFormat="1" hidden="1" x14ac:dyDescent="0.2">
      <c r="N99" s="207"/>
    </row>
    <row r="100" spans="2:14" s="197" customFormat="1" hidden="1" x14ac:dyDescent="0.2">
      <c r="N100" s="207"/>
    </row>
    <row r="101" spans="2:14" s="197" customFormat="1" hidden="1" x14ac:dyDescent="0.2">
      <c r="N101" s="207"/>
    </row>
    <row r="102" spans="2:14" s="197" customFormat="1" hidden="1" x14ac:dyDescent="0.2">
      <c r="N102" s="207"/>
    </row>
    <row r="103" spans="2:14" s="197" customFormat="1" hidden="1" x14ac:dyDescent="0.2">
      <c r="N103" s="207"/>
    </row>
    <row r="104" spans="2:14" s="197" customFormat="1" hidden="1" x14ac:dyDescent="0.2">
      <c r="N104" s="207"/>
    </row>
    <row r="105" spans="2:14" s="197" customFormat="1" hidden="1" x14ac:dyDescent="0.2">
      <c r="N105" s="207"/>
    </row>
    <row r="106" spans="2:14" s="197" customFormat="1" hidden="1" x14ac:dyDescent="0.2">
      <c r="N106" s="207"/>
    </row>
    <row r="107" spans="2:14" s="197" customFormat="1" x14ac:dyDescent="0.2">
      <c r="N107" s="207"/>
    </row>
    <row r="108" spans="2:14" s="197" customFormat="1" x14ac:dyDescent="0.2">
      <c r="N108" s="207"/>
    </row>
    <row r="109" spans="2:14" s="197" customFormat="1" x14ac:dyDescent="0.2">
      <c r="N109" s="207"/>
    </row>
    <row r="110" spans="2:14" s="197" customFormat="1" x14ac:dyDescent="0.2">
      <c r="N110" s="207"/>
    </row>
    <row r="111" spans="2:14" s="197" customFormat="1" x14ac:dyDescent="0.2">
      <c r="N111" s="207"/>
    </row>
    <row r="112" spans="2:14" s="197" customFormat="1" x14ac:dyDescent="0.2">
      <c r="N112" s="207"/>
    </row>
    <row r="113" spans="14:14" s="197" customFormat="1" x14ac:dyDescent="0.2">
      <c r="N113" s="207"/>
    </row>
    <row r="114" spans="14:14" s="197" customFormat="1" x14ac:dyDescent="0.2">
      <c r="N114" s="207"/>
    </row>
    <row r="115" spans="14:14" s="197" customFormat="1" x14ac:dyDescent="0.2">
      <c r="N115" s="207"/>
    </row>
    <row r="116" spans="14:14" s="197" customFormat="1" x14ac:dyDescent="0.2">
      <c r="N116" s="207"/>
    </row>
    <row r="117" spans="14:14" s="197" customFormat="1" x14ac:dyDescent="0.2">
      <c r="N117" s="207"/>
    </row>
    <row r="118" spans="14:14" s="197" customFormat="1" x14ac:dyDescent="0.2">
      <c r="N118" s="207"/>
    </row>
    <row r="119" spans="14:14" s="197" customFormat="1" x14ac:dyDescent="0.2">
      <c r="N119" s="207"/>
    </row>
    <row r="120" spans="14:14" s="197" customFormat="1" x14ac:dyDescent="0.2">
      <c r="N120" s="207"/>
    </row>
    <row r="121" spans="14:14" s="197" customFormat="1" x14ac:dyDescent="0.2">
      <c r="N121" s="207"/>
    </row>
    <row r="122" spans="14:14" s="197" customFormat="1" x14ac:dyDescent="0.2">
      <c r="N122" s="207"/>
    </row>
    <row r="123" spans="14:14" s="197" customFormat="1" x14ac:dyDescent="0.2">
      <c r="N123" s="207"/>
    </row>
    <row r="124" spans="14:14" s="197" customFormat="1" x14ac:dyDescent="0.2">
      <c r="N124" s="207"/>
    </row>
    <row r="125" spans="14:14" s="197" customFormat="1" x14ac:dyDescent="0.2">
      <c r="N125" s="207"/>
    </row>
    <row r="126" spans="14:14" s="197" customFormat="1" x14ac:dyDescent="0.2">
      <c r="N126" s="207"/>
    </row>
    <row r="127" spans="14:14" s="197" customFormat="1" x14ac:dyDescent="0.2">
      <c r="N127" s="207"/>
    </row>
    <row r="128" spans="14:14" s="197" customFormat="1" x14ac:dyDescent="0.2">
      <c r="N128" s="207"/>
    </row>
    <row r="129" spans="14:14" s="197" customFormat="1" x14ac:dyDescent="0.2">
      <c r="N129" s="207"/>
    </row>
    <row r="130" spans="14:14" s="197" customFormat="1" x14ac:dyDescent="0.2">
      <c r="N130" s="207"/>
    </row>
    <row r="131" spans="14:14" s="197" customFormat="1" x14ac:dyDescent="0.2">
      <c r="N131" s="207"/>
    </row>
    <row r="132" spans="14:14" s="197" customFormat="1" x14ac:dyDescent="0.2">
      <c r="N132" s="207"/>
    </row>
    <row r="133" spans="14:14" s="197" customFormat="1" x14ac:dyDescent="0.2">
      <c r="N133" s="207"/>
    </row>
    <row r="134" spans="14:14" s="197" customFormat="1" x14ac:dyDescent="0.2">
      <c r="N134" s="207"/>
    </row>
    <row r="135" spans="14:14" s="197" customFormat="1" x14ac:dyDescent="0.2">
      <c r="N135" s="207"/>
    </row>
    <row r="136" spans="14:14" s="197" customFormat="1" x14ac:dyDescent="0.2">
      <c r="N136" s="207"/>
    </row>
    <row r="137" spans="14:14" s="197" customFormat="1" x14ac:dyDescent="0.2">
      <c r="N137" s="207"/>
    </row>
    <row r="138" spans="14:14" s="197" customFormat="1" x14ac:dyDescent="0.2">
      <c r="N138" s="207"/>
    </row>
    <row r="139" spans="14:14" s="197" customFormat="1" x14ac:dyDescent="0.2">
      <c r="N139" s="207"/>
    </row>
    <row r="140" spans="14:14" s="197" customFormat="1" x14ac:dyDescent="0.2">
      <c r="N140" s="207"/>
    </row>
    <row r="141" spans="14:14" s="197" customFormat="1" x14ac:dyDescent="0.2">
      <c r="N141" s="207"/>
    </row>
    <row r="142" spans="14:14" s="197" customFormat="1" x14ac:dyDescent="0.2">
      <c r="N142" s="207"/>
    </row>
    <row r="143" spans="14:14" s="197" customFormat="1" x14ac:dyDescent="0.2">
      <c r="N143" s="207"/>
    </row>
    <row r="144" spans="14:14" s="197" customFormat="1" x14ac:dyDescent="0.2">
      <c r="N144" s="207"/>
    </row>
    <row r="145" spans="14:14" s="197" customFormat="1" x14ac:dyDescent="0.2">
      <c r="N145" s="207"/>
    </row>
    <row r="146" spans="14:14" s="197" customFormat="1" x14ac:dyDescent="0.2">
      <c r="N146" s="207"/>
    </row>
    <row r="147" spans="14:14" s="197" customFormat="1" x14ac:dyDescent="0.2">
      <c r="N147" s="207"/>
    </row>
    <row r="148" spans="14:14" s="197" customFormat="1" x14ac:dyDescent="0.2">
      <c r="N148" s="207"/>
    </row>
    <row r="149" spans="14:14" s="197" customFormat="1" x14ac:dyDescent="0.2">
      <c r="N149" s="207"/>
    </row>
    <row r="150" spans="14:14" s="197" customFormat="1" x14ac:dyDescent="0.2">
      <c r="N150" s="207"/>
    </row>
    <row r="151" spans="14:14" s="197" customFormat="1" x14ac:dyDescent="0.2">
      <c r="N151" s="207"/>
    </row>
    <row r="152" spans="14:14" s="197" customFormat="1" x14ac:dyDescent="0.2">
      <c r="N152" s="207"/>
    </row>
    <row r="153" spans="14:14" s="197" customFormat="1" x14ac:dyDescent="0.2">
      <c r="N153" s="207"/>
    </row>
    <row r="154" spans="14:14" s="197" customFormat="1" x14ac:dyDescent="0.2">
      <c r="N154" s="207"/>
    </row>
    <row r="155" spans="14:14" s="197" customFormat="1" x14ac:dyDescent="0.2">
      <c r="N155" s="207"/>
    </row>
    <row r="156" spans="14:14" s="197" customFormat="1" x14ac:dyDescent="0.2">
      <c r="N156" s="207"/>
    </row>
    <row r="157" spans="14:14" s="197" customFormat="1" x14ac:dyDescent="0.2">
      <c r="N157" s="207"/>
    </row>
    <row r="158" spans="14:14" s="197" customFormat="1" x14ac:dyDescent="0.2">
      <c r="N158" s="207"/>
    </row>
    <row r="159" spans="14:14" s="197" customFormat="1" x14ac:dyDescent="0.2">
      <c r="N159" s="207"/>
    </row>
    <row r="160" spans="14:14" s="197" customFormat="1" x14ac:dyDescent="0.2">
      <c r="N160" s="207"/>
    </row>
    <row r="161" spans="14:14" s="197" customFormat="1" x14ac:dyDescent="0.2">
      <c r="N161" s="207"/>
    </row>
    <row r="162" spans="14:14" s="197" customFormat="1" x14ac:dyDescent="0.2">
      <c r="N162" s="207"/>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9" zoomScale="80" zoomScaleSheetLayoutView="80" workbookViewId="0">
      <selection activeCell="A15" sqref="A15:K1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297" t="str">
        <f>'1. паспорт местоположение'!A5:C5</f>
        <v>Год раскрытия информации: 2024 год</v>
      </c>
      <c r="B5" s="297"/>
      <c r="C5" s="297"/>
      <c r="D5" s="297"/>
      <c r="E5" s="297"/>
      <c r="F5" s="297"/>
      <c r="G5" s="297"/>
      <c r="H5" s="297"/>
      <c r="I5" s="297"/>
      <c r="J5" s="297"/>
      <c r="K5" s="297"/>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06" t="s">
        <v>7</v>
      </c>
      <c r="B7" s="306"/>
      <c r="C7" s="306"/>
      <c r="D7" s="306"/>
      <c r="E7" s="306"/>
      <c r="F7" s="306"/>
      <c r="G7" s="306"/>
      <c r="H7" s="306"/>
      <c r="I7" s="306"/>
      <c r="J7" s="306"/>
      <c r="K7" s="306"/>
    </row>
    <row r="8" spans="1:43" ht="18.75" x14ac:dyDescent="0.25">
      <c r="A8" s="306"/>
      <c r="B8" s="306"/>
      <c r="C8" s="306"/>
      <c r="D8" s="306"/>
      <c r="E8" s="306"/>
      <c r="F8" s="306"/>
      <c r="G8" s="306"/>
      <c r="H8" s="306"/>
      <c r="I8" s="306"/>
      <c r="J8" s="306"/>
      <c r="K8" s="306"/>
    </row>
    <row r="9" spans="1:43" x14ac:dyDescent="0.25">
      <c r="A9" s="304" t="str">
        <f>'1. паспорт местоположение'!A9:C9</f>
        <v xml:space="preserve">Акционерное общество "Западная энергетическая компания" </v>
      </c>
      <c r="B9" s="304"/>
      <c r="C9" s="304"/>
      <c r="D9" s="304"/>
      <c r="E9" s="304"/>
      <c r="F9" s="304"/>
      <c r="G9" s="304"/>
      <c r="H9" s="304"/>
      <c r="I9" s="304"/>
      <c r="J9" s="304"/>
      <c r="K9" s="304"/>
    </row>
    <row r="10" spans="1:43" x14ac:dyDescent="0.25">
      <c r="A10" s="310" t="s">
        <v>6</v>
      </c>
      <c r="B10" s="310"/>
      <c r="C10" s="310"/>
      <c r="D10" s="310"/>
      <c r="E10" s="310"/>
      <c r="F10" s="310"/>
      <c r="G10" s="310"/>
      <c r="H10" s="310"/>
      <c r="I10" s="310"/>
      <c r="J10" s="310"/>
      <c r="K10" s="310"/>
    </row>
    <row r="11" spans="1:43" ht="18.75" x14ac:dyDescent="0.25">
      <c r="A11" s="306"/>
      <c r="B11" s="306"/>
      <c r="C11" s="306"/>
      <c r="D11" s="306"/>
      <c r="E11" s="306"/>
      <c r="F11" s="306"/>
      <c r="G11" s="306"/>
      <c r="H11" s="306"/>
      <c r="I11" s="306"/>
      <c r="J11" s="306"/>
      <c r="K11" s="306"/>
    </row>
    <row r="12" spans="1:43" x14ac:dyDescent="0.25">
      <c r="A12" s="304" t="str">
        <f>'1. паспорт местоположение'!A12:C12</f>
        <v>O 24-28</v>
      </c>
      <c r="B12" s="304"/>
      <c r="C12" s="304"/>
      <c r="D12" s="304"/>
      <c r="E12" s="304"/>
      <c r="F12" s="304"/>
      <c r="G12" s="304"/>
      <c r="H12" s="304"/>
      <c r="I12" s="304"/>
      <c r="J12" s="304"/>
      <c r="K12" s="304"/>
    </row>
    <row r="13" spans="1:43" x14ac:dyDescent="0.25">
      <c r="A13" s="310" t="s">
        <v>5</v>
      </c>
      <c r="B13" s="310"/>
      <c r="C13" s="310"/>
      <c r="D13" s="310"/>
      <c r="E13" s="310"/>
      <c r="F13" s="310"/>
      <c r="G13" s="310"/>
      <c r="H13" s="310"/>
      <c r="I13" s="310"/>
      <c r="J13" s="310"/>
      <c r="K13" s="310"/>
    </row>
    <row r="14" spans="1:43" ht="18.75" x14ac:dyDescent="0.25">
      <c r="A14" s="311"/>
      <c r="B14" s="311"/>
      <c r="C14" s="311"/>
      <c r="D14" s="311"/>
      <c r="E14" s="311"/>
      <c r="F14" s="311"/>
      <c r="G14" s="311"/>
      <c r="H14" s="311"/>
      <c r="I14" s="311"/>
      <c r="J14" s="311"/>
      <c r="K14" s="311"/>
    </row>
    <row r="15" spans="1:43" x14ac:dyDescent="0.25">
      <c r="A15" s="304" t="str">
        <f>'1. паспорт местоположение'!A15:C15</f>
        <v>Строительство нового РП на 7 выключателей  15 кВ с РЗА и ПА на микропроцессорной базе (замена СП-2 15 кВ)  в г. Пионерский Калининградской области</v>
      </c>
      <c r="B15" s="304"/>
      <c r="C15" s="304"/>
      <c r="D15" s="304"/>
      <c r="E15" s="304"/>
      <c r="F15" s="304"/>
      <c r="G15" s="304"/>
      <c r="H15" s="304"/>
      <c r="I15" s="304"/>
      <c r="J15" s="304"/>
      <c r="K15" s="304"/>
    </row>
    <row r="16" spans="1:43" x14ac:dyDescent="0.25">
      <c r="A16" s="298" t="s">
        <v>4</v>
      </c>
      <c r="B16" s="298"/>
      <c r="C16" s="298"/>
      <c r="D16" s="298"/>
      <c r="E16" s="298"/>
      <c r="F16" s="298"/>
      <c r="G16" s="298"/>
      <c r="H16" s="298"/>
      <c r="I16" s="298"/>
      <c r="J16" s="298"/>
      <c r="K16" s="298"/>
    </row>
    <row r="17" spans="1:11" ht="15.75" customHeight="1" x14ac:dyDescent="0.25"/>
    <row r="18" spans="1:11" x14ac:dyDescent="0.25">
      <c r="K18" s="24"/>
    </row>
    <row r="19" spans="1:11" ht="15.75" customHeight="1" x14ac:dyDescent="0.25">
      <c r="A19" s="357" t="s">
        <v>392</v>
      </c>
      <c r="B19" s="357"/>
      <c r="C19" s="357"/>
      <c r="D19" s="357"/>
      <c r="E19" s="357"/>
      <c r="F19" s="357"/>
      <c r="G19" s="357"/>
      <c r="H19" s="357"/>
      <c r="I19" s="357"/>
      <c r="J19" s="357"/>
      <c r="K19" s="357"/>
    </row>
    <row r="20" spans="1:11" x14ac:dyDescent="0.25">
      <c r="A20" s="35"/>
      <c r="B20" s="35"/>
    </row>
    <row r="21" spans="1:11" ht="28.5" customHeight="1" x14ac:dyDescent="0.25">
      <c r="A21" s="352" t="s">
        <v>199</v>
      </c>
      <c r="B21" s="352" t="s">
        <v>482</v>
      </c>
      <c r="C21" s="352" t="s">
        <v>351</v>
      </c>
      <c r="D21" s="352"/>
      <c r="E21" s="352"/>
      <c r="F21" s="352"/>
      <c r="G21" s="352"/>
      <c r="H21" s="352"/>
      <c r="I21" s="352" t="s">
        <v>198</v>
      </c>
      <c r="J21" s="353" t="s">
        <v>352</v>
      </c>
      <c r="K21" s="352" t="s">
        <v>197</v>
      </c>
    </row>
    <row r="22" spans="1:11" ht="58.5" customHeight="1" x14ac:dyDescent="0.25">
      <c r="A22" s="352"/>
      <c r="B22" s="352"/>
      <c r="C22" s="356" t="s">
        <v>533</v>
      </c>
      <c r="D22" s="356"/>
      <c r="E22" s="356" t="s">
        <v>9</v>
      </c>
      <c r="F22" s="356"/>
      <c r="G22" s="356" t="s">
        <v>534</v>
      </c>
      <c r="H22" s="356"/>
      <c r="I22" s="352"/>
      <c r="J22" s="354"/>
      <c r="K22" s="352"/>
    </row>
    <row r="23" spans="1:11" ht="31.5" x14ac:dyDescent="0.25">
      <c r="A23" s="352"/>
      <c r="B23" s="352"/>
      <c r="C23" s="156" t="s">
        <v>196</v>
      </c>
      <c r="D23" s="156" t="s">
        <v>195</v>
      </c>
      <c r="E23" s="156" t="s">
        <v>196</v>
      </c>
      <c r="F23" s="156" t="s">
        <v>195</v>
      </c>
      <c r="G23" s="156" t="s">
        <v>196</v>
      </c>
      <c r="H23" s="156" t="s">
        <v>195</v>
      </c>
      <c r="I23" s="352"/>
      <c r="J23" s="355"/>
      <c r="K23" s="352"/>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483</v>
      </c>
      <c r="B26" s="165" t="s">
        <v>484</v>
      </c>
      <c r="C26" s="162" t="s">
        <v>434</v>
      </c>
      <c r="D26" s="162" t="s">
        <v>434</v>
      </c>
      <c r="E26" s="173">
        <v>42859</v>
      </c>
      <c r="F26" s="173">
        <v>42859</v>
      </c>
      <c r="G26" s="162"/>
      <c r="H26" s="162"/>
      <c r="I26" s="174"/>
      <c r="J26" s="152"/>
      <c r="K26" s="153"/>
    </row>
    <row r="27" spans="1:11" ht="31.5" x14ac:dyDescent="0.25">
      <c r="A27" s="156" t="s">
        <v>485</v>
      </c>
      <c r="B27" s="165" t="s">
        <v>486</v>
      </c>
      <c r="C27" s="162" t="s">
        <v>434</v>
      </c>
      <c r="D27" s="162" t="s">
        <v>434</v>
      </c>
      <c r="E27" s="173">
        <v>42807</v>
      </c>
      <c r="F27" s="173">
        <v>42807</v>
      </c>
      <c r="G27" s="162"/>
      <c r="H27" s="162"/>
      <c r="I27" s="174"/>
      <c r="J27" s="152"/>
      <c r="K27" s="153"/>
    </row>
    <row r="28" spans="1:11" ht="63" x14ac:dyDescent="0.25">
      <c r="A28" s="156" t="s">
        <v>488</v>
      </c>
      <c r="B28" s="165" t="s">
        <v>487</v>
      </c>
      <c r="C28" s="162" t="s">
        <v>434</v>
      </c>
      <c r="D28" s="162" t="s">
        <v>434</v>
      </c>
      <c r="E28" s="173" t="s">
        <v>434</v>
      </c>
      <c r="F28" s="173" t="s">
        <v>434</v>
      </c>
      <c r="G28" s="162"/>
      <c r="H28" s="162"/>
      <c r="I28" s="174"/>
      <c r="J28" s="152"/>
      <c r="K28" s="153"/>
    </row>
    <row r="29" spans="1:11" ht="31.5" x14ac:dyDescent="0.25">
      <c r="A29" s="156" t="s">
        <v>490</v>
      </c>
      <c r="B29" s="165" t="s">
        <v>489</v>
      </c>
      <c r="C29" s="162" t="s">
        <v>434</v>
      </c>
      <c r="D29" s="162" t="s">
        <v>434</v>
      </c>
      <c r="E29" s="173" t="s">
        <v>434</v>
      </c>
      <c r="F29" s="173" t="s">
        <v>434</v>
      </c>
      <c r="G29" s="162"/>
      <c r="H29" s="162"/>
      <c r="I29" s="174"/>
      <c r="J29" s="152"/>
      <c r="K29" s="153"/>
    </row>
    <row r="30" spans="1:11" ht="31.5" x14ac:dyDescent="0.25">
      <c r="A30" s="156" t="s">
        <v>492</v>
      </c>
      <c r="B30" s="165" t="s">
        <v>491</v>
      </c>
      <c r="C30" s="162" t="s">
        <v>434</v>
      </c>
      <c r="D30" s="162" t="s">
        <v>434</v>
      </c>
      <c r="E30" s="173" t="s">
        <v>434</v>
      </c>
      <c r="F30" s="173" t="s">
        <v>434</v>
      </c>
      <c r="G30" s="162"/>
      <c r="H30" s="162"/>
      <c r="I30" s="174"/>
      <c r="J30" s="152"/>
      <c r="K30" s="153"/>
    </row>
    <row r="31" spans="1:11" ht="31.5" x14ac:dyDescent="0.25">
      <c r="A31" s="156" t="s">
        <v>494</v>
      </c>
      <c r="B31" s="165" t="s">
        <v>493</v>
      </c>
      <c r="C31" s="162">
        <v>45658</v>
      </c>
      <c r="D31" s="162">
        <v>45747</v>
      </c>
      <c r="E31" s="173">
        <v>41806</v>
      </c>
      <c r="F31" s="173">
        <v>41806</v>
      </c>
      <c r="G31" s="162"/>
      <c r="H31" s="162"/>
      <c r="I31" s="174"/>
      <c r="J31" s="152"/>
      <c r="K31" s="153"/>
    </row>
    <row r="32" spans="1:11" ht="31.5" x14ac:dyDescent="0.25">
      <c r="A32" s="156" t="s">
        <v>496</v>
      </c>
      <c r="B32" s="165" t="s">
        <v>495</v>
      </c>
      <c r="C32" s="162">
        <v>45747</v>
      </c>
      <c r="D32" s="162">
        <v>45747</v>
      </c>
      <c r="E32" s="173">
        <v>42597</v>
      </c>
      <c r="F32" s="173">
        <v>42597</v>
      </c>
      <c r="G32" s="162"/>
      <c r="H32" s="162"/>
      <c r="I32" s="174"/>
      <c r="J32" s="152"/>
      <c r="K32" s="153"/>
    </row>
    <row r="33" spans="1:11" ht="47.25" x14ac:dyDescent="0.25">
      <c r="A33" s="156" t="s">
        <v>498</v>
      </c>
      <c r="B33" s="165" t="s">
        <v>497</v>
      </c>
      <c r="C33" s="162" t="s">
        <v>434</v>
      </c>
      <c r="D33" s="162" t="s">
        <v>434</v>
      </c>
      <c r="E33" s="173">
        <v>42720</v>
      </c>
      <c r="F33" s="173">
        <v>42720</v>
      </c>
      <c r="G33" s="162"/>
      <c r="H33" s="162"/>
      <c r="I33" s="174"/>
      <c r="J33" s="152"/>
      <c r="K33" s="153"/>
    </row>
    <row r="34" spans="1:11" ht="63" x14ac:dyDescent="0.25">
      <c r="A34" s="156" t="s">
        <v>500</v>
      </c>
      <c r="B34" s="165" t="s">
        <v>499</v>
      </c>
      <c r="C34" s="162" t="s">
        <v>434</v>
      </c>
      <c r="D34" s="162" t="s">
        <v>434</v>
      </c>
      <c r="E34" s="173" t="s">
        <v>434</v>
      </c>
      <c r="F34" s="173" t="s">
        <v>434</v>
      </c>
      <c r="G34" s="162"/>
      <c r="H34" s="162"/>
      <c r="I34" s="174"/>
      <c r="J34" s="154"/>
      <c r="K34" s="154"/>
    </row>
    <row r="35" spans="1:11" ht="31.5" x14ac:dyDescent="0.25">
      <c r="A35" s="156" t="s">
        <v>501</v>
      </c>
      <c r="B35" s="165" t="s">
        <v>193</v>
      </c>
      <c r="C35" s="162">
        <v>45747</v>
      </c>
      <c r="D35" s="162">
        <v>45767</v>
      </c>
      <c r="E35" s="173">
        <v>42731</v>
      </c>
      <c r="F35" s="173">
        <v>42731</v>
      </c>
      <c r="G35" s="162"/>
      <c r="H35" s="162"/>
      <c r="I35" s="174"/>
      <c r="J35" s="154"/>
      <c r="K35" s="154"/>
    </row>
    <row r="36" spans="1:11" ht="31.5" x14ac:dyDescent="0.25">
      <c r="A36" s="156" t="s">
        <v>503</v>
      </c>
      <c r="B36" s="165" t="s">
        <v>502</v>
      </c>
      <c r="C36" s="162" t="s">
        <v>434</v>
      </c>
      <c r="D36" s="162" t="s">
        <v>434</v>
      </c>
      <c r="E36" s="173">
        <v>42993</v>
      </c>
      <c r="F36" s="173">
        <v>42993</v>
      </c>
      <c r="G36" s="162"/>
      <c r="H36" s="162"/>
      <c r="I36" s="174"/>
      <c r="J36" s="164"/>
      <c r="K36" s="153"/>
    </row>
    <row r="37" spans="1:11" x14ac:dyDescent="0.25">
      <c r="A37" s="156" t="s">
        <v>504</v>
      </c>
      <c r="B37" s="165" t="s">
        <v>192</v>
      </c>
      <c r="C37" s="162">
        <v>45658</v>
      </c>
      <c r="D37" s="162">
        <v>45858</v>
      </c>
      <c r="E37" s="173">
        <v>43054</v>
      </c>
      <c r="F37" s="173">
        <v>43305</v>
      </c>
      <c r="G37" s="162"/>
      <c r="H37" s="162"/>
      <c r="I37" s="174"/>
      <c r="J37" s="155"/>
      <c r="K37" s="153"/>
    </row>
    <row r="38" spans="1:11" x14ac:dyDescent="0.25">
      <c r="A38" s="163" t="s">
        <v>505</v>
      </c>
      <c r="B38" s="166" t="s">
        <v>191</v>
      </c>
      <c r="C38" s="162"/>
      <c r="D38" s="162"/>
      <c r="E38" s="173"/>
      <c r="F38" s="173"/>
      <c r="G38" s="162"/>
      <c r="H38" s="162"/>
      <c r="I38" s="174"/>
      <c r="J38" s="153"/>
      <c r="K38" s="153"/>
    </row>
    <row r="39" spans="1:11" ht="63" x14ac:dyDescent="0.25">
      <c r="A39" s="156" t="s">
        <v>507</v>
      </c>
      <c r="B39" s="165" t="s">
        <v>506</v>
      </c>
      <c r="C39" s="162">
        <v>45767</v>
      </c>
      <c r="D39" s="162">
        <v>45767</v>
      </c>
      <c r="E39" s="173">
        <v>42843</v>
      </c>
      <c r="F39" s="173">
        <v>42843</v>
      </c>
      <c r="G39" s="162"/>
      <c r="H39" s="162"/>
      <c r="I39" s="174"/>
      <c r="J39" s="153"/>
      <c r="K39" s="153"/>
    </row>
    <row r="40" spans="1:11" x14ac:dyDescent="0.25">
      <c r="A40" s="156" t="s">
        <v>509</v>
      </c>
      <c r="B40" s="165" t="s">
        <v>508</v>
      </c>
      <c r="C40" s="162">
        <v>45767</v>
      </c>
      <c r="D40" s="162">
        <v>45870</v>
      </c>
      <c r="E40" s="173">
        <v>43038</v>
      </c>
      <c r="F40" s="173">
        <v>43038</v>
      </c>
      <c r="G40" s="162"/>
      <c r="H40" s="162"/>
      <c r="I40" s="174"/>
      <c r="J40" s="153"/>
      <c r="K40" s="153"/>
    </row>
    <row r="41" spans="1:11" ht="47.25" x14ac:dyDescent="0.25">
      <c r="A41" s="156" t="s">
        <v>511</v>
      </c>
      <c r="B41" s="166" t="s">
        <v>510</v>
      </c>
      <c r="C41" s="162"/>
      <c r="D41" s="162"/>
      <c r="E41" s="173"/>
      <c r="F41" s="173"/>
      <c r="G41" s="162"/>
      <c r="H41" s="162"/>
      <c r="I41" s="174"/>
      <c r="J41" s="153"/>
      <c r="K41" s="153"/>
    </row>
    <row r="42" spans="1:11" ht="31.5" x14ac:dyDescent="0.25">
      <c r="A42" s="156" t="s">
        <v>513</v>
      </c>
      <c r="B42" s="165" t="s">
        <v>512</v>
      </c>
      <c r="C42" s="162">
        <v>45767</v>
      </c>
      <c r="D42" s="162">
        <v>45778</v>
      </c>
      <c r="E42" s="173">
        <v>43070</v>
      </c>
      <c r="F42" s="173">
        <v>43097</v>
      </c>
      <c r="G42" s="162"/>
      <c r="H42" s="162"/>
      <c r="I42" s="174"/>
      <c r="J42" s="153"/>
      <c r="K42" s="153"/>
    </row>
    <row r="43" spans="1:11" x14ac:dyDescent="0.25">
      <c r="A43" s="156" t="s">
        <v>514</v>
      </c>
      <c r="B43" s="165" t="s">
        <v>190</v>
      </c>
      <c r="C43" s="162">
        <v>45767</v>
      </c>
      <c r="D43" s="162">
        <v>45870</v>
      </c>
      <c r="E43" s="173">
        <v>43054</v>
      </c>
      <c r="F43" s="173">
        <v>43218</v>
      </c>
      <c r="G43" s="184"/>
      <c r="H43" s="184"/>
      <c r="I43" s="174"/>
      <c r="J43" s="153"/>
      <c r="K43" s="153"/>
    </row>
    <row r="44" spans="1:11" x14ac:dyDescent="0.25">
      <c r="A44" s="156" t="s">
        <v>515</v>
      </c>
      <c r="B44" s="165" t="s">
        <v>189</v>
      </c>
      <c r="C44" s="162">
        <v>45870</v>
      </c>
      <c r="D44" s="184">
        <v>46082</v>
      </c>
      <c r="E44" s="173">
        <v>43084</v>
      </c>
      <c r="F44" s="173">
        <v>43266</v>
      </c>
      <c r="G44" s="184"/>
      <c r="H44" s="184"/>
      <c r="I44" s="174"/>
      <c r="J44" s="153"/>
      <c r="K44" s="153"/>
    </row>
    <row r="45" spans="1:11" ht="78.75" x14ac:dyDescent="0.25">
      <c r="A45" s="156" t="s">
        <v>517</v>
      </c>
      <c r="B45" s="165" t="s">
        <v>516</v>
      </c>
      <c r="C45" s="184">
        <v>46244</v>
      </c>
      <c r="D45" s="184">
        <v>46305</v>
      </c>
      <c r="E45" s="173">
        <v>43343</v>
      </c>
      <c r="F45" s="173">
        <v>43343</v>
      </c>
      <c r="G45" s="184"/>
      <c r="H45" s="184"/>
      <c r="I45" s="174"/>
      <c r="J45" s="153"/>
      <c r="K45" s="153"/>
    </row>
    <row r="46" spans="1:11" ht="157.5" x14ac:dyDescent="0.25">
      <c r="A46" s="156" t="s">
        <v>519</v>
      </c>
      <c r="B46" s="165" t="s">
        <v>518</v>
      </c>
      <c r="C46" s="184"/>
      <c r="D46" s="184"/>
      <c r="E46" s="173">
        <v>43319</v>
      </c>
      <c r="F46" s="173">
        <v>43319</v>
      </c>
      <c r="G46" s="184"/>
      <c r="H46" s="184"/>
      <c r="I46" s="174"/>
      <c r="J46" s="153"/>
      <c r="K46" s="153"/>
    </row>
    <row r="47" spans="1:11" x14ac:dyDescent="0.25">
      <c r="A47" s="156" t="s">
        <v>529</v>
      </c>
      <c r="B47" s="165" t="s">
        <v>188</v>
      </c>
      <c r="C47" s="184">
        <v>46305</v>
      </c>
      <c r="D47" s="184">
        <v>46336</v>
      </c>
      <c r="E47" s="173">
        <v>43220</v>
      </c>
      <c r="F47" s="173">
        <v>43318</v>
      </c>
      <c r="G47" s="185"/>
      <c r="H47" s="184"/>
      <c r="I47" s="174"/>
      <c r="J47" s="153"/>
      <c r="K47" s="153"/>
    </row>
    <row r="48" spans="1:11" ht="31.5" x14ac:dyDescent="0.25">
      <c r="A48" s="156" t="s">
        <v>520</v>
      </c>
      <c r="B48" s="166" t="s">
        <v>187</v>
      </c>
      <c r="C48" s="162"/>
      <c r="D48" s="162"/>
      <c r="E48" s="173"/>
      <c r="F48" s="173"/>
      <c r="G48" s="162"/>
      <c r="H48" s="162"/>
      <c r="I48" s="174"/>
      <c r="J48" s="153"/>
      <c r="K48" s="153"/>
    </row>
    <row r="49" spans="1:11" ht="31.5" x14ac:dyDescent="0.25">
      <c r="A49" s="156" t="s">
        <v>530</v>
      </c>
      <c r="B49" s="165" t="s">
        <v>186</v>
      </c>
      <c r="C49" s="184">
        <v>46341</v>
      </c>
      <c r="D49" s="184">
        <v>46346</v>
      </c>
      <c r="E49" s="173">
        <v>43318</v>
      </c>
      <c r="F49" s="173">
        <v>43320</v>
      </c>
      <c r="G49" s="162"/>
      <c r="H49" s="162"/>
      <c r="I49" s="174"/>
      <c r="J49" s="153"/>
      <c r="K49" s="153"/>
    </row>
    <row r="50" spans="1:11" ht="78.75" x14ac:dyDescent="0.25">
      <c r="A50" s="163" t="s">
        <v>522</v>
      </c>
      <c r="B50" s="165" t="s">
        <v>521</v>
      </c>
      <c r="C50" s="162">
        <v>46377</v>
      </c>
      <c r="D50" s="162">
        <v>46381</v>
      </c>
      <c r="E50" s="173">
        <v>43343</v>
      </c>
      <c r="F50" s="173">
        <v>43343</v>
      </c>
      <c r="G50" s="162"/>
      <c r="H50" s="162"/>
      <c r="I50" s="174"/>
      <c r="J50" s="153"/>
      <c r="K50" s="153"/>
    </row>
    <row r="51" spans="1:11" ht="63" x14ac:dyDescent="0.25">
      <c r="A51" s="156" t="s">
        <v>524</v>
      </c>
      <c r="B51" s="165" t="s">
        <v>523</v>
      </c>
      <c r="C51" s="162">
        <v>46346</v>
      </c>
      <c r="D51" s="162">
        <v>46355</v>
      </c>
      <c r="E51" s="173">
        <v>43343</v>
      </c>
      <c r="F51" s="173">
        <v>43343</v>
      </c>
      <c r="G51" s="162"/>
      <c r="H51" s="162"/>
      <c r="I51" s="174"/>
      <c r="J51" s="153"/>
      <c r="K51" s="153"/>
    </row>
    <row r="52" spans="1:11" ht="63" x14ac:dyDescent="0.25">
      <c r="A52" s="156" t="s">
        <v>525</v>
      </c>
      <c r="B52" s="165" t="s">
        <v>185</v>
      </c>
      <c r="C52" s="162" t="s">
        <v>434</v>
      </c>
      <c r="D52" s="162" t="s">
        <v>434</v>
      </c>
      <c r="E52" s="173"/>
      <c r="F52" s="173"/>
      <c r="G52" s="162"/>
      <c r="H52" s="162"/>
      <c r="I52" s="174"/>
      <c r="J52" s="153"/>
      <c r="K52" s="153"/>
    </row>
    <row r="53" spans="1:11" ht="31.5" x14ac:dyDescent="0.25">
      <c r="A53" s="156" t="s">
        <v>527</v>
      </c>
      <c r="B53" s="165" t="s">
        <v>526</v>
      </c>
      <c r="C53" s="162">
        <v>46377</v>
      </c>
      <c r="D53" s="162">
        <v>46381</v>
      </c>
      <c r="E53" s="173">
        <v>43343</v>
      </c>
      <c r="F53" s="173">
        <v>43343</v>
      </c>
      <c r="G53" s="186"/>
      <c r="H53" s="162"/>
      <c r="I53" s="174"/>
      <c r="J53" s="153"/>
      <c r="K53" s="153"/>
    </row>
    <row r="54" spans="1:11" ht="31.5" x14ac:dyDescent="0.25">
      <c r="A54" s="156" t="s">
        <v>531</v>
      </c>
      <c r="B54" s="165" t="s">
        <v>184</v>
      </c>
      <c r="C54" s="162">
        <v>46377</v>
      </c>
      <c r="D54" s="162">
        <v>46381</v>
      </c>
      <c r="E54" s="173">
        <v>43353</v>
      </c>
      <c r="F54" s="173">
        <v>43353</v>
      </c>
      <c r="G54" s="186"/>
      <c r="H54" s="162"/>
      <c r="I54" s="174"/>
      <c r="J54" s="153"/>
      <c r="K54" s="15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2024-10-06T17:51:17Z</dcterms:modified>
</cp:coreProperties>
</file>