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defaultThemeVersion="124226"/>
  <mc:AlternateContent xmlns:mc="http://schemas.openxmlformats.org/markup-compatibility/2006">
    <mc:Choice Requires="x15">
      <x15ac:absPath xmlns:x15ac="http://schemas.microsoft.com/office/spreadsheetml/2010/11/ac" url="C:\Users\Пользователь\Desktop\2024_ЗЭК\2024_март\ИПР 2025-2029 для публикации_24.04.2024\18.10.2024\I1015_1153926028850_39\Паспорта\"/>
    </mc:Choice>
  </mc:AlternateContent>
  <xr:revisionPtr revIDLastSave="0" documentId="13_ncr:1_{B23D8496-BB3F-4580-98AE-76941F666A1B}" xr6:coauthVersionLast="47" xr6:coauthVersionMax="47" xr10:uidLastSave="{00000000-0000-0000-0000-000000000000}"/>
  <bookViews>
    <workbookView xWindow="-120" yWindow="-120" windowWidth="29040" windowHeight="15840" tabRatio="859" firstSheet="2" activeTab="8"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31"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ТП'!$A$1:$S$35</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#REF!</definedName>
    <definedName name="список7">#REF!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B81" i="31" l="1"/>
  <c r="C81" i="31"/>
  <c r="C51" i="7"/>
  <c r="C50" i="7"/>
  <c r="O31" i="13"/>
  <c r="P30" i="13"/>
  <c r="O30" i="13"/>
  <c r="N30" i="13"/>
  <c r="F65" i="29"/>
  <c r="A5" i="31"/>
  <c r="A15" i="31" l="1"/>
  <c r="A12" i="31"/>
  <c r="A9" i="31"/>
  <c r="C92" i="31"/>
  <c r="E92" i="31" s="1"/>
  <c r="F92" i="31" s="1"/>
  <c r="G92" i="31" s="1"/>
  <c r="H92" i="31" s="1"/>
  <c r="I92" i="31" s="1"/>
  <c r="J92" i="31" s="1"/>
  <c r="K92" i="31" s="1"/>
  <c r="L92" i="31" s="1"/>
  <c r="M92" i="31" s="1"/>
  <c r="N92" i="31" s="1"/>
  <c r="O92" i="31" s="1"/>
  <c r="P92" i="31" s="1"/>
  <c r="Q92" i="31" s="1"/>
  <c r="R92" i="31" s="1"/>
  <c r="S92" i="31" s="1"/>
  <c r="T92" i="31" s="1"/>
  <c r="U92" i="31" s="1"/>
  <c r="V92" i="31" s="1"/>
  <c r="W92" i="31" s="1"/>
  <c r="X92" i="31" s="1"/>
  <c r="Y92" i="31" s="1"/>
  <c r="Z92" i="31" s="1"/>
  <c r="AA92" i="31" s="1"/>
  <c r="AB92" i="31" s="1"/>
  <c r="AC92" i="31" s="1"/>
  <c r="AD92" i="31" s="1"/>
  <c r="AE92" i="31" s="1"/>
  <c r="C91" i="31"/>
  <c r="D91" i="31" s="1"/>
  <c r="E91" i="31" s="1"/>
  <c r="F91" i="31" s="1"/>
  <c r="G91" i="31" s="1"/>
  <c r="H91" i="31" s="1"/>
  <c r="I91" i="31" s="1"/>
  <c r="J91" i="31" s="1"/>
  <c r="K91" i="31" s="1"/>
  <c r="L91" i="31" s="1"/>
  <c r="M91" i="31" s="1"/>
  <c r="N91" i="31" s="1"/>
  <c r="O91" i="31" s="1"/>
  <c r="P91" i="31" s="1"/>
  <c r="Q91" i="31" s="1"/>
  <c r="R91" i="31" s="1"/>
  <c r="S91" i="31" s="1"/>
  <c r="T91" i="31" s="1"/>
  <c r="U91" i="31" s="1"/>
  <c r="V91" i="31" s="1"/>
  <c r="W91" i="31" s="1"/>
  <c r="X91" i="31" s="1"/>
  <c r="Y91" i="31" s="1"/>
  <c r="Z91" i="31" s="1"/>
  <c r="AA91" i="31" s="1"/>
  <c r="AB91" i="31" s="1"/>
  <c r="AC91" i="31" s="1"/>
  <c r="AD91" i="31" s="1"/>
  <c r="AE91" i="31" s="1"/>
  <c r="AE85" i="31"/>
  <c r="AD85" i="31"/>
  <c r="AC85" i="31"/>
  <c r="AB85" i="31"/>
  <c r="AA85" i="31"/>
  <c r="Z85" i="31"/>
  <c r="Y85" i="31"/>
  <c r="X85" i="31"/>
  <c r="W85" i="31"/>
  <c r="V85" i="31"/>
  <c r="U85" i="31"/>
  <c r="T85" i="31"/>
  <c r="S85" i="31"/>
  <c r="R85" i="31"/>
  <c r="Q85" i="31"/>
  <c r="P85" i="31"/>
  <c r="O85" i="31"/>
  <c r="N85" i="31"/>
  <c r="M85" i="31"/>
  <c r="L85" i="31"/>
  <c r="K85" i="31"/>
  <c r="J85" i="31"/>
  <c r="I85" i="31"/>
  <c r="H85" i="31"/>
  <c r="G85" i="31"/>
  <c r="F85" i="31"/>
  <c r="E85" i="31"/>
  <c r="D85" i="31"/>
  <c r="C85" i="31"/>
  <c r="B85" i="31"/>
  <c r="AE77" i="31"/>
  <c r="AD77" i="31"/>
  <c r="AC77" i="31"/>
  <c r="AB77" i="31"/>
  <c r="AA77" i="31"/>
  <c r="Z77" i="31"/>
  <c r="Y77" i="31"/>
  <c r="X77" i="31"/>
  <c r="W77" i="31"/>
  <c r="V77" i="31"/>
  <c r="U77" i="31"/>
  <c r="T77" i="31"/>
  <c r="S77" i="31"/>
  <c r="R77" i="31"/>
  <c r="Q77" i="31"/>
  <c r="P77" i="31"/>
  <c r="O77" i="31"/>
  <c r="N77" i="31"/>
  <c r="M77" i="31"/>
  <c r="L77" i="31"/>
  <c r="K77" i="31"/>
  <c r="J77" i="31"/>
  <c r="I77" i="31"/>
  <c r="H77" i="31"/>
  <c r="G77" i="31"/>
  <c r="F77" i="31"/>
  <c r="E77" i="31"/>
  <c r="D77" i="31"/>
  <c r="C77" i="31"/>
  <c r="B77" i="31"/>
  <c r="B76" i="31"/>
  <c r="C59" i="31"/>
  <c r="B59" i="31"/>
  <c r="AE58" i="31"/>
  <c r="AD58" i="31"/>
  <c r="AC58" i="31"/>
  <c r="AC80" i="31" s="1"/>
  <c r="AB58" i="31"/>
  <c r="AB80" i="31" s="1"/>
  <c r="AA58" i="31"/>
  <c r="Z58" i="31"/>
  <c r="Y58" i="31"/>
  <c r="Y80" i="31" s="1"/>
  <c r="X58" i="31"/>
  <c r="X80" i="31" s="1"/>
  <c r="W58" i="31"/>
  <c r="V58" i="31"/>
  <c r="U58" i="31"/>
  <c r="U80" i="31" s="1"/>
  <c r="T58" i="31"/>
  <c r="T80" i="31" s="1"/>
  <c r="S58" i="31"/>
  <c r="R58" i="31"/>
  <c r="Q58" i="31"/>
  <c r="Q80" i="31" s="1"/>
  <c r="P58" i="31"/>
  <c r="P80" i="31" s="1"/>
  <c r="O58" i="31"/>
  <c r="N58" i="31"/>
  <c r="M58" i="31"/>
  <c r="M80" i="31" s="1"/>
  <c r="L58" i="31"/>
  <c r="L80" i="31" s="1"/>
  <c r="K58" i="31"/>
  <c r="J58" i="31"/>
  <c r="I58" i="31"/>
  <c r="I80" i="31" s="1"/>
  <c r="H58" i="31"/>
  <c r="H80" i="31" s="1"/>
  <c r="G58" i="31"/>
  <c r="F58" i="31"/>
  <c r="E58" i="31"/>
  <c r="E80" i="31" s="1"/>
  <c r="D58" i="31"/>
  <c r="D80" i="31" s="1"/>
  <c r="C58" i="31"/>
  <c r="B48" i="31"/>
  <c r="C48" i="31" s="1"/>
  <c r="D48" i="31" s="1"/>
  <c r="E48" i="31" s="1"/>
  <c r="F48" i="31" s="1"/>
  <c r="G48" i="31" s="1"/>
  <c r="H48" i="31" s="1"/>
  <c r="I48" i="31" s="1"/>
  <c r="J48" i="31" s="1"/>
  <c r="K48" i="31" s="1"/>
  <c r="L48" i="31" s="1"/>
  <c r="M48" i="31" s="1"/>
  <c r="N48" i="31" s="1"/>
  <c r="O48" i="31" s="1"/>
  <c r="P48" i="31" s="1"/>
  <c r="Q48" i="31" s="1"/>
  <c r="R48" i="31" s="1"/>
  <c r="S48" i="31" s="1"/>
  <c r="T48" i="31" s="1"/>
  <c r="U48" i="31" s="1"/>
  <c r="V48" i="31" s="1"/>
  <c r="W48" i="31" s="1"/>
  <c r="X48" i="31" s="1"/>
  <c r="Y48" i="31" s="1"/>
  <c r="Z48" i="31" s="1"/>
  <c r="AA48" i="31" s="1"/>
  <c r="AB48" i="31" s="1"/>
  <c r="AC48" i="31" s="1"/>
  <c r="AD48" i="31" s="1"/>
  <c r="AE48" i="31" s="1"/>
  <c r="B45" i="31"/>
  <c r="N80" i="31" l="1"/>
  <c r="C76" i="31"/>
  <c r="F80" i="31"/>
  <c r="J80" i="31"/>
  <c r="R80" i="31"/>
  <c r="V80" i="31"/>
  <c r="Z80" i="31"/>
  <c r="C80" i="31"/>
  <c r="C66" i="31"/>
  <c r="G80" i="31"/>
  <c r="K80" i="31"/>
  <c r="O80" i="31"/>
  <c r="S80" i="31"/>
  <c r="W80" i="31"/>
  <c r="AA80" i="31"/>
  <c r="AE80" i="31"/>
  <c r="AD80" i="31"/>
  <c r="C68" i="31" l="1"/>
  <c r="C75" i="31" s="1"/>
  <c r="C70" i="31" l="1"/>
  <c r="C71" i="31" s="1"/>
  <c r="C72" i="31" s="1"/>
  <c r="AB28" i="29" l="1"/>
  <c r="D56" i="29"/>
  <c r="D55" i="29"/>
  <c r="D53" i="29"/>
  <c r="D51" i="29"/>
  <c r="D49" i="29"/>
  <c r="D48" i="29"/>
  <c r="D47" i="29"/>
  <c r="D46" i="29"/>
  <c r="D44" i="29"/>
  <c r="D43" i="29"/>
  <c r="D42" i="29"/>
  <c r="D57" i="29" s="1"/>
  <c r="D41" i="29"/>
  <c r="D40" i="29"/>
  <c r="D39" i="29"/>
  <c r="D38" i="29"/>
  <c r="D37" i="29"/>
  <c r="D45" i="29" s="1"/>
  <c r="D54" i="29" s="1"/>
  <c r="I66" i="29" s="1"/>
  <c r="D36" i="29"/>
  <c r="D35" i="29"/>
  <c r="D30" i="29" l="1"/>
  <c r="D52" i="29"/>
  <c r="B24" i="31"/>
  <c r="D50" i="29"/>
  <c r="D24" i="29"/>
  <c r="D27" i="29" s="1"/>
  <c r="D67" i="31" l="1"/>
  <c r="B28" i="31"/>
  <c r="I60" i="31" s="1"/>
  <c r="B49" i="31"/>
  <c r="B58" i="31" s="1"/>
  <c r="B34" i="31"/>
  <c r="K61" i="31" s="1"/>
  <c r="C30" i="29"/>
  <c r="AB24" i="29" s="1"/>
  <c r="C24" i="29"/>
  <c r="AB64" i="29"/>
  <c r="AB61" i="29"/>
  <c r="AB32" i="29"/>
  <c r="AB33" i="29"/>
  <c r="C42" i="29"/>
  <c r="C50" i="29" s="1"/>
  <c r="AB50" i="29" s="1"/>
  <c r="C37" i="29"/>
  <c r="AB37" i="29" s="1"/>
  <c r="D65" i="31" l="1"/>
  <c r="D59" i="31" s="1"/>
  <c r="D66" i="31" s="1"/>
  <c r="AB30" i="29"/>
  <c r="S61" i="31"/>
  <c r="B66" i="31"/>
  <c r="B68" i="31" s="1"/>
  <c r="B80" i="31"/>
  <c r="B79" i="31"/>
  <c r="O60" i="31"/>
  <c r="C57" i="29"/>
  <c r="AB57" i="29" s="1"/>
  <c r="AB42" i="29"/>
  <c r="B25" i="26"/>
  <c r="B22" i="26"/>
  <c r="P62" i="29"/>
  <c r="P63" i="29"/>
  <c r="P58" i="29"/>
  <c r="P59" i="29"/>
  <c r="P60" i="29"/>
  <c r="C45" i="29"/>
  <c r="AB34" i="29"/>
  <c r="U60" i="31" l="1"/>
  <c r="B70" i="31"/>
  <c r="B71" i="31" s="1"/>
  <c r="B75" i="31"/>
  <c r="AA61" i="31"/>
  <c r="B24" i="26"/>
  <c r="AB45" i="29"/>
  <c r="C54" i="29"/>
  <c r="C52" i="29"/>
  <c r="AB52" i="29" s="1"/>
  <c r="B27" i="26"/>
  <c r="B72" i="31" l="1"/>
  <c r="B78" i="31"/>
  <c r="B83" i="31" s="1"/>
  <c r="P54" i="29"/>
  <c r="C27" i="29"/>
  <c r="H58" i="29"/>
  <c r="H59" i="29"/>
  <c r="H60" i="29"/>
  <c r="H62" i="29"/>
  <c r="H63" i="29"/>
  <c r="C78" i="31" l="1"/>
  <c r="B84" i="31"/>
  <c r="B89" i="31" s="1"/>
  <c r="B88" i="31"/>
  <c r="B86" i="31"/>
  <c r="AB54" i="29"/>
  <c r="AB27" i="29" l="1"/>
  <c r="B87" i="31"/>
  <c r="B90" i="31" s="1"/>
  <c r="H26" i="29"/>
  <c r="H25" i="29"/>
  <c r="I24" i="29"/>
  <c r="D26" i="5" l="1"/>
  <c r="B133" i="26" l="1"/>
  <c r="C79" i="31" l="1"/>
  <c r="C83" i="31" s="1"/>
  <c r="L30" i="15"/>
  <c r="D79" i="31" l="1"/>
  <c r="E79" i="31" s="1"/>
  <c r="C86" i="31"/>
  <c r="C84" i="31"/>
  <c r="C89" i="31" s="1"/>
  <c r="C88" i="31"/>
  <c r="D68" i="31"/>
  <c r="D76" i="31"/>
  <c r="E67" i="31"/>
  <c r="L63" i="29"/>
  <c r="AB63" i="29" s="1"/>
  <c r="L62" i="29"/>
  <c r="AB62" i="29" s="1"/>
  <c r="L60" i="29"/>
  <c r="AB60" i="29" s="1"/>
  <c r="L59" i="29"/>
  <c r="AB59" i="29" s="1"/>
  <c r="L58" i="29"/>
  <c r="AB58" i="29" s="1"/>
  <c r="C56" i="29"/>
  <c r="C55" i="29"/>
  <c r="C53" i="29"/>
  <c r="L51" i="29"/>
  <c r="C51" i="29"/>
  <c r="L49" i="29"/>
  <c r="C49" i="29"/>
  <c r="L48" i="29"/>
  <c r="C48" i="29"/>
  <c r="L47" i="29"/>
  <c r="C47" i="29"/>
  <c r="L46" i="29"/>
  <c r="C46" i="29"/>
  <c r="L44" i="29"/>
  <c r="C44" i="29"/>
  <c r="C43" i="29"/>
  <c r="C41" i="29"/>
  <c r="C40" i="29"/>
  <c r="C39" i="29"/>
  <c r="C38" i="29"/>
  <c r="C36" i="29"/>
  <c r="C35" i="29"/>
  <c r="L31" i="29"/>
  <c r="AB31" i="29" s="1"/>
  <c r="L29" i="29"/>
  <c r="H29" i="29"/>
  <c r="L26" i="29"/>
  <c r="AB26" i="29" s="1"/>
  <c r="L25" i="29"/>
  <c r="AB25" i="29" s="1"/>
  <c r="Y24" i="29"/>
  <c r="U24" i="29"/>
  <c r="Q24" i="29"/>
  <c r="M24" i="29"/>
  <c r="E65" i="31" l="1"/>
  <c r="E59" i="31" s="1"/>
  <c r="E66" i="31" s="1"/>
  <c r="AB29" i="29"/>
  <c r="D75" i="31"/>
  <c r="D70" i="31"/>
  <c r="D71" i="31" s="1"/>
  <c r="E76" i="31"/>
  <c r="E68" i="31"/>
  <c r="F67" i="31"/>
  <c r="C87" i="31"/>
  <c r="C90" i="31" s="1"/>
  <c r="F79" i="31"/>
  <c r="G79" i="31" s="1"/>
  <c r="P43" i="29"/>
  <c r="H43" i="29"/>
  <c r="P47" i="29"/>
  <c r="H47" i="29"/>
  <c r="H35" i="29"/>
  <c r="P40" i="29"/>
  <c r="H40" i="29"/>
  <c r="P55" i="29"/>
  <c r="H55" i="29"/>
  <c r="L55" i="29"/>
  <c r="P38" i="29"/>
  <c r="H38" i="29"/>
  <c r="P39" i="29"/>
  <c r="H39" i="29"/>
  <c r="P44" i="29"/>
  <c r="H44" i="29"/>
  <c r="P49" i="29"/>
  <c r="H49" i="29"/>
  <c r="P53" i="29"/>
  <c r="H53" i="29"/>
  <c r="L53" i="29"/>
  <c r="H36" i="29"/>
  <c r="P41" i="29"/>
  <c r="H41" i="29"/>
  <c r="P46" i="29"/>
  <c r="H46" i="29"/>
  <c r="P48" i="29"/>
  <c r="H48" i="29"/>
  <c r="P51" i="29"/>
  <c r="H51" i="29"/>
  <c r="P56" i="29"/>
  <c r="H56" i="29"/>
  <c r="L56" i="29"/>
  <c r="B113" i="26"/>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F65" i="31" l="1"/>
  <c r="F59" i="31" s="1"/>
  <c r="F66" i="31" s="1"/>
  <c r="AB35" i="29"/>
  <c r="AB36" i="29"/>
  <c r="E75" i="31"/>
  <c r="E70" i="31"/>
  <c r="E71" i="31" s="1"/>
  <c r="E72" i="31" s="1"/>
  <c r="AB56" i="29"/>
  <c r="AB51" i="29"/>
  <c r="AB48" i="29"/>
  <c r="AB46" i="29"/>
  <c r="AB41" i="29"/>
  <c r="AB53" i="29"/>
  <c r="AB49" i="29"/>
  <c r="AB44" i="29"/>
  <c r="AB39" i="29"/>
  <c r="AB38" i="29"/>
  <c r="AB47" i="29"/>
  <c r="AB43" i="29"/>
  <c r="D72" i="31"/>
  <c r="D78" i="31"/>
  <c r="D83" i="31" s="1"/>
  <c r="AB55" i="29"/>
  <c r="AB40" i="29"/>
  <c r="G67" i="31"/>
  <c r="F68" i="31"/>
  <c r="F76" i="31"/>
  <c r="H79" i="31"/>
  <c r="I79" i="31" l="1"/>
  <c r="J79" i="31" s="1"/>
  <c r="K79" i="31" s="1"/>
  <c r="L79" i="31" s="1"/>
  <c r="M79" i="31" s="1"/>
  <c r="N79" i="31" s="1"/>
  <c r="O79" i="31" s="1"/>
  <c r="P79" i="31" s="1"/>
  <c r="Q79" i="31" s="1"/>
  <c r="R79" i="31" s="1"/>
  <c r="S79" i="31" s="1"/>
  <c r="T79" i="31" s="1"/>
  <c r="U79" i="31" s="1"/>
  <c r="V79" i="31" s="1"/>
  <c r="W79" i="31" s="1"/>
  <c r="X79" i="31" s="1"/>
  <c r="Y79" i="31" s="1"/>
  <c r="Z79" i="31" s="1"/>
  <c r="AA79" i="31" s="1"/>
  <c r="AB79" i="31" s="1"/>
  <c r="AC79" i="31" s="1"/>
  <c r="AD79" i="31" s="1"/>
  <c r="AE79" i="31" s="1"/>
  <c r="G65" i="31"/>
  <c r="G59" i="31" s="1"/>
  <c r="G66" i="31" s="1"/>
  <c r="E78" i="31"/>
  <c r="E83" i="31" s="1"/>
  <c r="E88" i="31" s="1"/>
  <c r="D86" i="31"/>
  <c r="D84" i="31"/>
  <c r="D89" i="31" s="1"/>
  <c r="D88" i="31"/>
  <c r="F70" i="31"/>
  <c r="F71" i="31" s="1"/>
  <c r="F78" i="31" s="1"/>
  <c r="F75" i="31"/>
  <c r="G68" i="31"/>
  <c r="H67" i="31"/>
  <c r="G76" i="31"/>
  <c r="P57" i="15"/>
  <c r="P56" i="15"/>
  <c r="P55" i="15"/>
  <c r="P50" i="15"/>
  <c r="P49" i="15"/>
  <c r="P48" i="15"/>
  <c r="P47" i="15"/>
  <c r="P46" i="15"/>
  <c r="P44" i="15"/>
  <c r="P42" i="15"/>
  <c r="P41" i="15"/>
  <c r="P40" i="15"/>
  <c r="P39" i="15"/>
  <c r="P38" i="15"/>
  <c r="E86" i="31" l="1"/>
  <c r="E87" i="31" s="1"/>
  <c r="H65" i="31"/>
  <c r="H59" i="31" s="1"/>
  <c r="H66" i="31" s="1"/>
  <c r="E84" i="31"/>
  <c r="E89" i="31" s="1"/>
  <c r="H68" i="31"/>
  <c r="H76" i="31"/>
  <c r="I67" i="31"/>
  <c r="G75" i="31"/>
  <c r="G70" i="31"/>
  <c r="G71" i="31" s="1"/>
  <c r="F83" i="31"/>
  <c r="F72" i="31"/>
  <c r="D87" i="31"/>
  <c r="D90" i="31" s="1"/>
  <c r="E53" i="15"/>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I65" i="31" l="1"/>
  <c r="I59" i="31" s="1"/>
  <c r="I66" i="31" s="1"/>
  <c r="E90" i="31"/>
  <c r="F86" i="31"/>
  <c r="F84" i="31"/>
  <c r="F89" i="31" s="1"/>
  <c r="F88" i="31"/>
  <c r="I76" i="31"/>
  <c r="J67" i="31"/>
  <c r="I68" i="31"/>
  <c r="G72" i="31"/>
  <c r="G78" i="31"/>
  <c r="G83" i="31" s="1"/>
  <c r="G86" i="31" s="1"/>
  <c r="H75" i="31"/>
  <c r="H70" i="31"/>
  <c r="E32" i="15"/>
  <c r="F32" i="15" s="1"/>
  <c r="E34" i="15"/>
  <c r="F34" i="15" s="1"/>
  <c r="E31" i="15"/>
  <c r="F31" i="15" s="1"/>
  <c r="E33" i="15"/>
  <c r="F33" i="15" s="1"/>
  <c r="L26" i="15"/>
  <c r="AB26" i="15" s="1"/>
  <c r="N26" i="15"/>
  <c r="E45" i="15"/>
  <c r="F45" i="15" s="1"/>
  <c r="P45" i="15" s="1"/>
  <c r="L27" i="15"/>
  <c r="AB27" i="15" s="1"/>
  <c r="N27" i="15"/>
  <c r="L25" i="15"/>
  <c r="AB25" i="15" s="1"/>
  <c r="N25" i="15"/>
  <c r="AB37" i="15"/>
  <c r="C54" i="15"/>
  <c r="L31" i="15"/>
  <c r="C30" i="15"/>
  <c r="P53" i="15"/>
  <c r="J65" i="31" l="1"/>
  <c r="J59" i="31" s="1"/>
  <c r="J66" i="31" s="1"/>
  <c r="G87" i="31"/>
  <c r="I75" i="31"/>
  <c r="I70" i="31"/>
  <c r="I71" i="31" s="1"/>
  <c r="I72" i="31" s="1"/>
  <c r="G88" i="31"/>
  <c r="G84" i="31"/>
  <c r="G89" i="31" s="1"/>
  <c r="J68" i="31"/>
  <c r="J76" i="31"/>
  <c r="K67" i="31"/>
  <c r="F30" i="15"/>
  <c r="H71" i="31"/>
  <c r="F87" i="31"/>
  <c r="F90" i="31" s="1"/>
  <c r="L24" i="15"/>
  <c r="AB24" i="15" s="1"/>
  <c r="C48" i="7" s="1"/>
  <c r="E30" i="15"/>
  <c r="AC26" i="15"/>
  <c r="AB53" i="15"/>
  <c r="AB45" i="15"/>
  <c r="AC25" i="15"/>
  <c r="N24" i="15"/>
  <c r="AC27" i="15"/>
  <c r="E54" i="15"/>
  <c r="F54" i="15" s="1"/>
  <c r="P54" i="15" s="1"/>
  <c r="C52" i="15"/>
  <c r="C28" i="15"/>
  <c r="AB31" i="15"/>
  <c r="K65" i="31" l="1"/>
  <c r="K59" i="31" s="1"/>
  <c r="K66" i="31" s="1"/>
  <c r="G90" i="31"/>
  <c r="H78" i="31"/>
  <c r="H83" i="31" s="1"/>
  <c r="H72" i="31"/>
  <c r="J70" i="31"/>
  <c r="J75" i="31"/>
  <c r="K76" i="31"/>
  <c r="L67" i="31"/>
  <c r="K68" i="31"/>
  <c r="AC24" i="15"/>
  <c r="AB54" i="15"/>
  <c r="E52" i="15"/>
  <c r="F52" i="15" s="1"/>
  <c r="P52" i="15" s="1"/>
  <c r="C24" i="15"/>
  <c r="E28" i="15"/>
  <c r="L65" i="31" l="1"/>
  <c r="L59" i="31" s="1"/>
  <c r="L66" i="31" s="1"/>
  <c r="H86" i="31"/>
  <c r="H84" i="31"/>
  <c r="H89" i="31" s="1"/>
  <c r="H88" i="31"/>
  <c r="K75" i="31"/>
  <c r="K70" i="31"/>
  <c r="L76" i="31"/>
  <c r="M67" i="31"/>
  <c r="L68" i="31"/>
  <c r="J71" i="31"/>
  <c r="J72" i="31" s="1"/>
  <c r="I78" i="31"/>
  <c r="I83" i="31" s="1"/>
  <c r="I88" i="31" s="1"/>
  <c r="AB52" i="15"/>
  <c r="F28" i="15"/>
  <c r="F24" i="15" s="1"/>
  <c r="E24" i="15"/>
  <c r="AC23" i="15"/>
  <c r="M65" i="31" l="1"/>
  <c r="M59" i="31" s="1"/>
  <c r="M66" i="31" s="1"/>
  <c r="M68" i="31" s="1"/>
  <c r="N67" i="31"/>
  <c r="M76" i="31"/>
  <c r="J78" i="31"/>
  <c r="J83" i="31" s="1"/>
  <c r="I86" i="31"/>
  <c r="I87" i="31" s="1"/>
  <c r="I84" i="31"/>
  <c r="I89" i="31" s="1"/>
  <c r="K71" i="31"/>
  <c r="K72" i="31"/>
  <c r="L70" i="31"/>
  <c r="L71" i="31" s="1"/>
  <c r="L75" i="31"/>
  <c r="H87" i="31"/>
  <c r="H90" i="31" s="1"/>
  <c r="A12" i="26"/>
  <c r="N65" i="31" l="1"/>
  <c r="N59" i="31" s="1"/>
  <c r="N66" i="31" s="1"/>
  <c r="K78" i="31"/>
  <c r="K83" i="31" s="1"/>
  <c r="M75" i="31"/>
  <c r="M70" i="31"/>
  <c r="J86" i="31"/>
  <c r="J87" i="31" s="1"/>
  <c r="J90" i="31" s="1"/>
  <c r="J88" i="31"/>
  <c r="J84" i="31"/>
  <c r="J89" i="31" s="1"/>
  <c r="I90" i="31"/>
  <c r="L72" i="31"/>
  <c r="L78" i="31"/>
  <c r="L83" i="31" s="1"/>
  <c r="N68" i="31"/>
  <c r="N76" i="31"/>
  <c r="O67" i="31"/>
  <c r="B119" i="26"/>
  <c r="B117" i="26"/>
  <c r="B67" i="26"/>
  <c r="B63" i="26"/>
  <c r="B59" i="26"/>
  <c r="B55" i="26"/>
  <c r="A15" i="26"/>
  <c r="B21" i="26" s="1"/>
  <c r="A9" i="26"/>
  <c r="B121" i="26" s="1"/>
  <c r="A5" i="26"/>
  <c r="O65" i="31" l="1"/>
  <c r="O59" i="31" s="1"/>
  <c r="O66" i="31" s="1"/>
  <c r="O68" i="31" s="1"/>
  <c r="O76" i="31"/>
  <c r="P67" i="31"/>
  <c r="M71" i="31"/>
  <c r="M78" i="31" s="1"/>
  <c r="M83" i="31" s="1"/>
  <c r="N70" i="31"/>
  <c r="N75" i="31"/>
  <c r="L86" i="31"/>
  <c r="L84" i="31"/>
  <c r="L88" i="31"/>
  <c r="K86" i="31"/>
  <c r="K87" i="31" s="1"/>
  <c r="K84" i="31"/>
  <c r="K89" i="31" s="1"/>
  <c r="K88" i="31"/>
  <c r="B118" i="26"/>
  <c r="B116" i="26"/>
  <c r="B108" i="26"/>
  <c r="B104" i="26"/>
  <c r="B100" i="26"/>
  <c r="B115" i="26"/>
  <c r="B53" i="26"/>
  <c r="B50" i="26"/>
  <c r="B46" i="26"/>
  <c r="B42" i="26"/>
  <c r="B38" i="26"/>
  <c r="K90" i="31" l="1"/>
  <c r="G29" i="31"/>
  <c r="P65" i="31"/>
  <c r="P59" i="31" s="1"/>
  <c r="P66" i="31" s="1"/>
  <c r="P68" i="31" s="1"/>
  <c r="L87" i="31"/>
  <c r="L90" i="31" s="1"/>
  <c r="M86" i="31"/>
  <c r="M87" i="31" s="1"/>
  <c r="M88" i="31"/>
  <c r="M84" i="31"/>
  <c r="M89" i="31" s="1"/>
  <c r="O75" i="31"/>
  <c r="O70" i="31"/>
  <c r="N71" i="31"/>
  <c r="N78" i="31" s="1"/>
  <c r="N83" i="31" s="1"/>
  <c r="P76" i="31"/>
  <c r="Q67" i="31"/>
  <c r="L89" i="31"/>
  <c r="M72" i="31"/>
  <c r="B111" i="26"/>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M90" i="31" l="1"/>
  <c r="Q65" i="31"/>
  <c r="Q59" i="31" s="1"/>
  <c r="Q66" i="31" s="1"/>
  <c r="Q68" i="31" s="1"/>
  <c r="P75" i="31"/>
  <c r="P70" i="31"/>
  <c r="N72" i="31"/>
  <c r="N86" i="31"/>
  <c r="N87" i="31" s="1"/>
  <c r="N88" i="31"/>
  <c r="N84" i="31"/>
  <c r="N89" i="31" s="1"/>
  <c r="R67" i="31"/>
  <c r="Q76" i="31"/>
  <c r="O71" i="31"/>
  <c r="O78" i="31" s="1"/>
  <c r="O83" i="31"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R65" i="31" l="1"/>
  <c r="R59" i="31" s="1"/>
  <c r="R66" i="31" s="1"/>
  <c r="O72" i="31"/>
  <c r="R68" i="31"/>
  <c r="R76" i="31"/>
  <c r="S67" i="31"/>
  <c r="Q75" i="31"/>
  <c r="Q70" i="31"/>
  <c r="N90" i="31"/>
  <c r="O86" i="31"/>
  <c r="O87" i="31" s="1"/>
  <c r="O90" i="31" s="1"/>
  <c r="O84" i="31"/>
  <c r="O89" i="31" s="1"/>
  <c r="O88" i="31"/>
  <c r="P71" i="31"/>
  <c r="P78" i="31" s="1"/>
  <c r="P83" i="31" s="1"/>
  <c r="P72" i="31"/>
  <c r="AB30" i="15"/>
  <c r="C49" i="7" s="1"/>
  <c r="P33" i="15"/>
  <c r="L33" i="15" s="1"/>
  <c r="AB33" i="15" s="1"/>
  <c r="P32" i="15"/>
  <c r="P34" i="15" s="1"/>
  <c r="S65" i="31" l="1"/>
  <c r="S59" i="31" s="1"/>
  <c r="S66" i="31" s="1"/>
  <c r="P86" i="31"/>
  <c r="P87" i="31" s="1"/>
  <c r="P90" i="31" s="1"/>
  <c r="P84" i="31"/>
  <c r="P89" i="31" s="1"/>
  <c r="P88" i="31"/>
  <c r="T67" i="31"/>
  <c r="S76" i="31"/>
  <c r="S68" i="31"/>
  <c r="Q71" i="31"/>
  <c r="Q78" i="31" s="1"/>
  <c r="Q83" i="31" s="1"/>
  <c r="R75" i="31"/>
  <c r="R70" i="31"/>
  <c r="L32" i="15"/>
  <c r="Q72" i="31" l="1"/>
  <c r="T65" i="31"/>
  <c r="T59" i="31" s="1"/>
  <c r="T66" i="31" s="1"/>
  <c r="T68" i="31"/>
  <c r="T76" i="31"/>
  <c r="U67" i="31"/>
  <c r="R71" i="31"/>
  <c r="R78" i="31" s="1"/>
  <c r="R83" i="31" s="1"/>
  <c r="S70" i="31"/>
  <c r="S75" i="31"/>
  <c r="Q86" i="31"/>
  <c r="Q87" i="31" s="1"/>
  <c r="Q90" i="31" s="1"/>
  <c r="Q88" i="31"/>
  <c r="Q84" i="31"/>
  <c r="Q89" i="31" s="1"/>
  <c r="L34" i="15"/>
  <c r="AB34" i="15" s="1"/>
  <c r="AB32" i="15"/>
  <c r="U65" i="31" l="1"/>
  <c r="U59" i="31" s="1"/>
  <c r="U66" i="31" s="1"/>
  <c r="R86" i="31"/>
  <c r="R87" i="31" s="1"/>
  <c r="R90" i="31" s="1"/>
  <c r="R88" i="31"/>
  <c r="R84" i="31"/>
  <c r="R89" i="31" s="1"/>
  <c r="V67" i="31"/>
  <c r="U76" i="31"/>
  <c r="U68" i="31"/>
  <c r="S71" i="31"/>
  <c r="S78" i="31" s="1"/>
  <c r="S83" i="31" s="1"/>
  <c r="S72" i="31"/>
  <c r="R72" i="31"/>
  <c r="T70" i="31"/>
  <c r="T75" i="31"/>
  <c r="V65" i="31" l="1"/>
  <c r="V59" i="31" s="1"/>
  <c r="V66" i="31" s="1"/>
  <c r="V68" i="31"/>
  <c r="V76" i="31"/>
  <c r="W67" i="31"/>
  <c r="S86" i="31"/>
  <c r="S87" i="31" s="1"/>
  <c r="S90" i="31" s="1"/>
  <c r="S88" i="31"/>
  <c r="S84" i="31"/>
  <c r="S89" i="31" s="1"/>
  <c r="T71" i="31"/>
  <c r="T78" i="31" s="1"/>
  <c r="T83" i="31" s="1"/>
  <c r="T72" i="31"/>
  <c r="U70" i="31"/>
  <c r="U75" i="31"/>
  <c r="W65" i="31" l="1"/>
  <c r="W59" i="31" s="1"/>
  <c r="W66" i="31" s="1"/>
  <c r="W68" i="31" s="1"/>
  <c r="U71" i="31"/>
  <c r="U78" i="31" s="1"/>
  <c r="U83" i="31" s="1"/>
  <c r="U72" i="31"/>
  <c r="T86" i="31"/>
  <c r="T87" i="31" s="1"/>
  <c r="T90" i="31" s="1"/>
  <c r="T84" i="31"/>
  <c r="T89" i="31" s="1"/>
  <c r="T88" i="31"/>
  <c r="X67" i="31"/>
  <c r="W76" i="31"/>
  <c r="V75" i="31"/>
  <c r="V70" i="31"/>
  <c r="X65" i="31" l="1"/>
  <c r="X59" i="31" s="1"/>
  <c r="X66" i="31" s="1"/>
  <c r="W75" i="31"/>
  <c r="W70" i="31"/>
  <c r="V71" i="31"/>
  <c r="V78" i="31" s="1"/>
  <c r="V83" i="31" s="1"/>
  <c r="V72" i="31"/>
  <c r="Y67" i="31"/>
  <c r="X68" i="31"/>
  <c r="X76" i="31"/>
  <c r="U86" i="31"/>
  <c r="U87" i="31" s="1"/>
  <c r="U90" i="31" s="1"/>
  <c r="U88" i="31"/>
  <c r="U84" i="31"/>
  <c r="U89" i="31" s="1"/>
  <c r="Y65" i="31" l="1"/>
  <c r="Y59" i="31" s="1"/>
  <c r="Y66" i="31" s="1"/>
  <c r="V86" i="31"/>
  <c r="V87" i="31" s="1"/>
  <c r="V90" i="31" s="1"/>
  <c r="V84" i="31"/>
  <c r="V89" i="31" s="1"/>
  <c r="V88" i="31"/>
  <c r="X70" i="31"/>
  <c r="X75" i="31"/>
  <c r="W71" i="31"/>
  <c r="W78" i="31" s="1"/>
  <c r="W72" i="31"/>
  <c r="Y68" i="31"/>
  <c r="Y76" i="31"/>
  <c r="Z67" i="31"/>
  <c r="Z65" i="31" s="1"/>
  <c r="Z59" i="31" s="1"/>
  <c r="Z66" i="31" s="1"/>
  <c r="W83" i="31"/>
  <c r="W86" i="31" l="1"/>
  <c r="W87" i="31" s="1"/>
  <c r="W90" i="31" s="1"/>
  <c r="W84" i="31"/>
  <c r="W89" i="31" s="1"/>
  <c r="W88" i="31"/>
  <c r="Y70" i="31"/>
  <c r="Y75" i="31"/>
  <c r="X71" i="31"/>
  <c r="X78" i="31" s="1"/>
  <c r="X83" i="31" s="1"/>
  <c r="X72" i="31"/>
  <c r="Z76" i="31"/>
  <c r="AA67" i="31"/>
  <c r="AA65" i="31" s="1"/>
  <c r="AA59" i="31" s="1"/>
  <c r="AA66" i="31" s="1"/>
  <c r="Z68" i="31"/>
  <c r="Y71" i="31" l="1"/>
  <c r="Y78" i="31" s="1"/>
  <c r="Y83" i="31" s="1"/>
  <c r="Y72" i="31"/>
  <c r="X86" i="31"/>
  <c r="X87" i="31" s="1"/>
  <c r="X90" i="31" s="1"/>
  <c r="X84" i="31"/>
  <c r="X89" i="31" s="1"/>
  <c r="X88" i="31"/>
  <c r="Z75" i="31"/>
  <c r="Z70" i="31"/>
  <c r="AB67" i="31"/>
  <c r="AB65" i="31" s="1"/>
  <c r="AB59" i="31" s="1"/>
  <c r="AB66" i="31" s="1"/>
  <c r="AA76" i="31"/>
  <c r="AA68" i="31"/>
  <c r="AB76" i="31" l="1"/>
  <c r="AB68" i="31"/>
  <c r="AC67" i="31"/>
  <c r="AC65" i="31" s="1"/>
  <c r="AC59" i="31" s="1"/>
  <c r="AC66" i="31" s="1"/>
  <c r="Z71" i="31"/>
  <c r="Z78" i="31" s="1"/>
  <c r="Z83" i="31" s="1"/>
  <c r="AA70" i="31"/>
  <c r="AA75" i="31"/>
  <c r="Y86" i="31"/>
  <c r="Y87" i="31" s="1"/>
  <c r="Y90" i="31" s="1"/>
  <c r="Y84" i="31"/>
  <c r="Y89" i="31" s="1"/>
  <c r="Y88" i="31"/>
  <c r="AA71" i="31" l="1"/>
  <c r="AA78" i="31" s="1"/>
  <c r="AA83" i="31" s="1"/>
  <c r="AA72" i="31"/>
  <c r="AB70" i="31"/>
  <c r="AB75" i="31"/>
  <c r="Z86" i="31"/>
  <c r="Z87" i="31" s="1"/>
  <c r="Z90" i="31" s="1"/>
  <c r="Z88" i="31"/>
  <c r="Z84" i="31"/>
  <c r="Z89" i="31" s="1"/>
  <c r="AD67" i="31"/>
  <c r="AD65" i="31" s="1"/>
  <c r="AD59" i="31" s="1"/>
  <c r="AD66" i="31" s="1"/>
  <c r="AC76" i="31"/>
  <c r="AC68" i="31"/>
  <c r="Z72" i="31"/>
  <c r="AC70" i="31" l="1"/>
  <c r="AC75" i="31"/>
  <c r="AE67" i="31"/>
  <c r="AE65" i="31" s="1"/>
  <c r="AE59" i="31" s="1"/>
  <c r="AE66" i="31" s="1"/>
  <c r="AD68" i="31"/>
  <c r="AD76" i="31"/>
  <c r="AB71" i="31"/>
  <c r="AB78" i="31" s="1"/>
  <c r="AB83" i="31" s="1"/>
  <c r="AA86" i="31"/>
  <c r="AA87" i="31" s="1"/>
  <c r="AA90" i="31" s="1"/>
  <c r="AA88" i="31"/>
  <c r="AA84" i="31"/>
  <c r="AA89" i="31" s="1"/>
  <c r="AB72" i="31" l="1"/>
  <c r="AD70" i="31"/>
  <c r="AD75" i="31"/>
  <c r="AE68" i="31"/>
  <c r="AE76" i="31"/>
  <c r="AB86" i="31"/>
  <c r="AB87" i="31" s="1"/>
  <c r="AB90" i="31" s="1"/>
  <c r="AB84" i="31"/>
  <c r="AB89" i="31" s="1"/>
  <c r="AB88" i="31"/>
  <c r="AC71" i="31"/>
  <c r="AC78" i="31" s="1"/>
  <c r="AC83" i="31" s="1"/>
  <c r="AC86" i="31" l="1"/>
  <c r="AC87" i="31" s="1"/>
  <c r="AC90" i="31" s="1"/>
  <c r="AC88" i="31"/>
  <c r="AC84" i="31"/>
  <c r="AC89" i="31" s="1"/>
  <c r="AC72" i="31"/>
  <c r="AE70" i="31"/>
  <c r="AE75" i="31"/>
  <c r="AD71" i="31"/>
  <c r="AD78" i="31" s="1"/>
  <c r="AD83" i="31" s="1"/>
  <c r="AD72" i="31" l="1"/>
  <c r="AD86" i="31"/>
  <c r="AD87" i="31" s="1"/>
  <c r="AD90" i="31" s="1"/>
  <c r="AD88" i="31"/>
  <c r="AD84" i="31"/>
  <c r="AD89" i="31" s="1"/>
  <c r="AE71" i="31"/>
  <c r="AE78" i="31" s="1"/>
  <c r="AE83" i="31" s="1"/>
  <c r="AE72" i="31" l="1"/>
  <c r="AE86" i="31"/>
  <c r="AE87" i="31" s="1"/>
  <c r="AE90" i="31" s="1"/>
  <c r="G28" i="31" s="1"/>
  <c r="AE88" i="31"/>
  <c r="AE84" i="31"/>
  <c r="AE89" i="31" s="1"/>
  <c r="G27" i="31" s="1"/>
</calcChain>
</file>

<file path=xl/sharedStrings.xml><?xml version="1.0" encoding="utf-8"?>
<sst xmlns="http://schemas.openxmlformats.org/spreadsheetml/2006/main" count="1647" uniqueCount="635">
  <si>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</si>
  <si>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</si>
  <si>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</si>
  <si>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</si>
  <si>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</si>
  <si>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</si>
  <si>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</si>
  <si>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</si>
  <si>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</si>
  <si>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</si>
  <si>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</si>
  <si>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</si>
  <si>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</si>
  <si>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</si>
  <si>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</si>
  <si>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</si>
  <si>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</si>
  <si>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</si>
  <si>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</si>
  <si>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</si>
  <si>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</si>
  <si>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</si>
  <si>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</si>
  <si>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</si>
  <si>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</si>
  <si>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</si>
  <si>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</si>
  <si>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</si>
  <si>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</si>
  <si>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</si>
  <si>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</si>
  <si>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</si>
  <si>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</si>
  <si>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</si>
  <si>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</si>
  <si>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</si>
  <si>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</si>
  <si>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</si>
  <si>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</si>
  <si>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</si>
  <si>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</si>
  <si>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</si>
  <si>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</si>
  <si>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</si>
  <si>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</si>
  <si>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</si>
  <si>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</si>
  <si>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</si>
  <si>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</si>
  <si>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</si>
  <si>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</si>
  <si>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</si>
  <si>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</si>
  <si>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</si>
  <si>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</si>
  <si>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</si>
  <si>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</si>
  <si>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</si>
  <si>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</si>
  <si>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</si>
  <si>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</si>
  <si>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</si>
  <si>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</si>
  <si>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</si>
  <si>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</si>
  <si>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</si>
  <si>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</si>
  <si>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</si>
  <si>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</si>
  <si>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</si>
  <si>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</si>
  <si>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</si>
  <si>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</si>
  <si>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</si>
  <si>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</si>
  <si>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</si>
  <si>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</si>
  <si>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</si>
  <si>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</si>
  <si>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</si>
  <si>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</si>
  <si>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</si>
  <si>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</si>
  <si>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</si>
  <si>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</si>
  <si>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</si>
  <si>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</si>
  <si>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</si>
  <si>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</si>
  <si>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</si>
  <si>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</si>
  <si>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</si>
  <si>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</si>
  <si>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</si>
  <si>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</si>
  <si>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</si>
  <si>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</si>
  <si>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</si>
  <si>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</si>
  <si>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</si>
  <si>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</si>
  <si>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</si>
  <si>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</si>
  <si>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</si>
  <si>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</si>
  <si>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</si>
  <si>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</si>
  <si>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</si>
  <si>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</si>
  <si>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</si>
  <si>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</si>
  <si>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</si>
  <si>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</si>
  <si>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</si>
  <si>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</si>
  <si>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</si>
  <si>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</si>
  <si>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</si>
  <si>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</si>
  <si>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</si>
  <si>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</si>
  <si>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</si>
  <si>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</si>
  <si>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</si>
  <si>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</si>
  <si>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</si>
  <si>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</si>
  <si>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</si>
  <si>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</si>
  <si>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</si>
  <si>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</si>
  <si>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</si>
  <si>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</si>
  <si>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</si>
  <si>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</si>
  <si>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</si>
  <si>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</si>
  <si>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</si>
  <si>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</si>
  <si>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</si>
  <si>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</si>
  <si>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</si>
  <si>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</si>
  <si>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</si>
  <si>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</si>
  <si>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</si>
  <si>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</si>
  <si>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</si>
  <si>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</si>
  <si>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</si>
  <si>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</si>
  <si>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</si>
  <si>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</si>
  <si>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</si>
  <si>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</si>
  <si>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</si>
  <si>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</si>
  <si>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</si>
  <si>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</si>
  <si>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</si>
  <si>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</si>
  <si>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</si>
  <si>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</si>
  <si>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</si>
  <si>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</si>
  <si>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</si>
  <si>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</si>
  <si>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</si>
  <si>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</si>
  <si>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</si>
  <si>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</si>
  <si>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</si>
  <si>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</si>
  <si>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</si>
  <si>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</si>
  <si>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</si>
  <si>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</si>
  <si>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</si>
  <si>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</si>
  <si>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</si>
  <si>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</si>
  <si>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</si>
  <si>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</si>
  <si>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</si>
  <si>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</si>
  <si>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</si>
  <si>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</si>
  <si>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</si>
  <si>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</si>
  <si>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</si>
  <si>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</si>
  <si>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</si>
  <si>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</si>
  <si>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</si>
  <si>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</si>
  <si>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</si>
  <si>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</si>
  <si>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</si>
  <si>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</si>
  <si>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</si>
  <si>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</si>
  <si>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</si>
  <si>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</si>
  <si>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</si>
  <si>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</si>
  <si>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</si>
  <si>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</si>
  <si>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</si>
  <si>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</si>
  <si>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</si>
  <si>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</si>
  <si>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</si>
  <si>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</si>
  <si>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</si>
  <si>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</si>
  <si>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</si>
  <si>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</si>
  <si>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</si>
  <si>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</si>
  <si>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</si>
  <si>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</si>
  <si>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</si>
  <si>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</si>
  <si>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</si>
  <si>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</si>
  <si>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</si>
  <si>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</si>
  <si>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</si>
  <si>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</si>
  <si>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</si>
  <si>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</si>
  <si>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</si>
  <si>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</si>
  <si>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</si>
  <si>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</si>
  <si>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</si>
  <si>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</si>
  <si>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</si>
  <si>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</si>
  <si>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</si>
  <si>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</si>
  <si>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</si>
  <si>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</si>
  <si>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</si>
  <si>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</si>
  <si>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</si>
  <si>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</si>
  <si>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</si>
  <si>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</si>
  <si>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</si>
  <si>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</si>
  <si>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</si>
  <si>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</si>
  <si>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</si>
  <si>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</si>
  <si>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</si>
  <si>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</si>
  <si>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</si>
  <si>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</si>
  <si>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</si>
  <si>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</si>
  <si>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</si>
  <si>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</si>
  <si>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</si>
  <si>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</si>
  <si>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</si>
  <si>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</si>
  <si>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</si>
  <si>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</si>
  <si>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</si>
  <si>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</si>
  <si>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</si>
  <si>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</si>
  <si>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</si>
  <si>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</si>
  <si>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</si>
  <si>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</si>
  <si>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</si>
  <si>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</si>
  <si>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</si>
  <si>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</si>
  <si>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</si>
  <si>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</si>
  <si>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</si>
  <si>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</si>
  <si>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</si>
  <si>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</si>
  <si>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</si>
  <si>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</si>
  <si>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</si>
  <si>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</si>
  <si>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</si>
  <si>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</si>
  <si>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</si>
  <si>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</si>
  <si>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</si>
  <si>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</si>
  <si>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</si>
  <si>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</si>
  <si>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</si>
  <si>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</si>
  <si>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</si>
  <si>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</si>
  <si>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</si>
  <si>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</si>
  <si>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</si>
  <si>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</si>
  <si>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</si>
  <si>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</si>
  <si>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</si>
  <si>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</si>
  <si>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</si>
  <si>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</si>
  <si>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</si>
  <si>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</si>
  <si>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</si>
  <si>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</si>
  <si>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</si>
  <si>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</si>
  <si>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</si>
  <si>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</si>
  <si>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</si>
  <si>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</si>
  <si>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</si>
  <si>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</si>
  <si>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</si>
  <si>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</si>
  <si>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</si>
  <si>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</si>
  <si>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</si>
  <si>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</si>
  <si>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</si>
  <si>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</si>
  <si>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</si>
  <si>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</si>
  <si>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</si>
  <si>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</si>
  <si>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</si>
  <si>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</si>
  <si>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</si>
  <si>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</si>
  <si>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</si>
  <si>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</si>
  <si>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</si>
  <si>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</si>
  <si>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</si>
  <si>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</si>
  <si>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</si>
  <si>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</si>
  <si>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</si>
  <si>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</si>
  <si>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</si>
  <si>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</si>
  <si>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</si>
  <si>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</si>
  <si>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</si>
  <si>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</si>
  <si>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</si>
  <si>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</si>
  <si>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</si>
  <si>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</si>
  <si>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</si>
  <si>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</si>
  <si>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</si>
  <si>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</si>
  <si>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</si>
  <si>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</si>
  <si>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</si>
  <si>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</si>
  <si>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</si>
  <si>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</si>
  <si>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</si>
  <si>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</si>
  <si>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</si>
  <si>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</si>
  <si>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</si>
  <si>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</si>
  <si>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</si>
  <si>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</si>
  <si>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</si>
  <si>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</si>
  <si>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</si>
  <si>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</si>
  <si>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</si>
  <si>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</si>
  <si>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</si>
  <si>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</si>
  <si>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</si>
  <si>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</si>
  <si>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</si>
  <si>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</si>
  <si>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</si>
  <si>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</si>
  <si>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</si>
  <si>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</si>
  <si>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</si>
  <si>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</si>
  <si>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</si>
  <si>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</si>
  <si>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</si>
  <si>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</si>
  <si>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</si>
  <si>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</si>
  <si>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</si>
  <si>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</si>
  <si>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</si>
  <si>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</si>
  <si>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</si>
  <si>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</si>
  <si>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</si>
  <si>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</si>
  <si>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</si>
  <si>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</si>
  <si>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</si>
  <si>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</si>
  <si>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</si>
  <si>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</si>
  <si>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</si>
  <si>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</si>
  <si>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</si>
  <si>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</si>
  <si>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</si>
  <si>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</si>
  <si>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</si>
  <si>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</si>
  <si>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</si>
  <si>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</si>
  <si>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</si>
  <si>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</si>
  <si>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</si>
  <si>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</si>
  <si>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</si>
  <si>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</si>
  <si>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</si>
  <si>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</si>
  <si>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</si>
  <si>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</si>
  <si>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</si>
  <si>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</si>
  <si>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</si>
  <si>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</si>
  <si>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</si>
  <si>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</si>
  <si>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</si>
  <si>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</si>
  <si>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</si>
  <si>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</si>
  <si>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</si>
  <si>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</si>
  <si>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</si>
  <si>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</si>
  <si>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</si>
  <si>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</si>
  <si>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</si>
  <si>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</si>
  <si>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</si>
  <si>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</si>
  <si>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</si>
  <si>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</si>
  <si>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</si>
  <si>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</si>
  <si>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</si>
  <si>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</si>
  <si>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</si>
  <si>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</si>
  <si>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</si>
  <si>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</si>
  <si>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</si>
  <si>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</si>
  <si>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</si>
  <si>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</si>
  <si>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</si>
  <si>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</si>
  <si>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</si>
  <si>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</si>
  <si>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</si>
  <si>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</si>
  <si>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</si>
  <si>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</si>
  <si>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</si>
  <si>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</si>
  <si>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</si>
  <si>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</si>
  <si>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</si>
  <si>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</si>
  <si>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</si>
  <si>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</si>
  <si>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</si>
  <si>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</si>
  <si>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</si>
  <si>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</si>
  <si>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</si>
  <si>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</si>
  <si>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</si>
  <si>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</si>
  <si>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</si>
  <si>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</si>
  <si>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</si>
  <si>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</si>
  <si>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</si>
  <si>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</si>
  <si>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</si>
  <si>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</si>
  <si>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</si>
  <si>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</si>
  <si>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</si>
  <si>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</si>
  <si>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</si>
  <si>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</si>
  <si>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</si>
  <si>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</si>
  <si>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</si>
  <si>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</si>
  <si>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</si>
  <si>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</si>
  <si>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</si>
  <si>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</si>
  <si>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</si>
  <si>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</si>
  <si>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</si>
  <si>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</si>
  <si>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</si>
  <si>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</si>
  <si>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</si>
  <si>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</si>
  <si>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</si>
  <si>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</si>
  <si>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</si>
  <si>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</si>
  <si>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</si>
  <si>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</si>
  <si>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</si>
  <si>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</si>
  <si>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</si>
  <si>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</si>
  <si>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</si>
  <si>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</si>
  <si>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</si>
  <si>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</si>
  <si>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</si>
  <si>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</si>
  <si>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</si>
  <si>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</si>
  <si>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</si>
  <si>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2018</t>
  </si>
  <si>
    <t>нет</t>
  </si>
  <si>
    <t>Возможно реализовать в установленный срок</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</si>
  <si>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</si>
  <si>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</si>
  <si>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Выполнение строительно-монтажных работ, пуско-наладочных работ, поставку материально-технических ресурсов и оборудования</t>
  </si>
  <si>
    <t>ССР</t>
  </si>
  <si>
    <t xml:space="preserve"> по состоянию на 01.01.года (N-1)</t>
  </si>
  <si>
    <t>по состоянию на 01.01.года X</t>
  </si>
  <si>
    <t>План (факт) года (N-1)</t>
  </si>
  <si>
    <t>Год N</t>
  </si>
  <si>
    <t>Год (N+1)</t>
  </si>
  <si>
    <t>Год (N+2)</t>
  </si>
  <si>
    <t>П</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</si>
  <si>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</si>
  <si>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</si>
  <si>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</si>
  <si>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</si>
  <si>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</si>
  <si>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</si>
  <si>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Реквизиты договора 1</t>
  </si>
  <si>
    <t>Местонахождение 1</t>
  </si>
  <si>
    <t>Наименование энергопринимаюшего устройства 1</t>
  </si>
  <si>
    <t>Всего по всем точкам присоединения,
в том числе:</t>
  </si>
  <si>
    <t>Наименование точки присоединения 1</t>
  </si>
  <si>
    <t>Наименование точки присоединения 2</t>
  </si>
  <si>
    <t>Реквизиты договора 2</t>
  </si>
  <si>
    <t>Местонахождение 2</t>
  </si>
  <si>
    <t>Наименование энергопринимаюшего устройства 2</t>
  </si>
  <si>
    <t>Всего по всем точкам присоединения, 
в том числе:</t>
  </si>
  <si>
    <t>1967</t>
  </si>
  <si>
    <t>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</si>
  <si>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</si>
  <si>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план</t>
  </si>
  <si>
    <t>СМР, оборудование</t>
  </si>
  <si>
    <t>Реконструкция</t>
  </si>
  <si>
    <t>проектирование</t>
  </si>
  <si>
    <t>1968</t>
  </si>
  <si>
    <t xml:space="preserve">15  </t>
  </si>
  <si>
    <t>0,4</t>
  </si>
  <si>
    <t xml:space="preserve">Трансформатор  </t>
  </si>
  <si>
    <t>Т-1</t>
  </si>
  <si>
    <t>Т-2</t>
  </si>
  <si>
    <t>0,165 руб /1 шт.</t>
  </si>
  <si>
    <t>Багратионовский  р-н, п. Северный, Нивенское сельское поселение.</t>
  </si>
  <si>
    <t>Т-3</t>
  </si>
  <si>
    <t>ТП-5</t>
  </si>
  <si>
    <t xml:space="preserve">отдельные ячейки 15кВ с  маслянными выключателями SCI-20 </t>
  </si>
  <si>
    <t>ячейки КРУ-15кВ с вакуумными выключателями, с РЗА и ПА</t>
  </si>
  <si>
    <t>РУ-15кВ</t>
  </si>
  <si>
    <t>шкафы КРУ  с элегазовыми выключателями нагрузки</t>
  </si>
  <si>
    <t>РУ-6кВ</t>
  </si>
  <si>
    <t>ТМГ-15/6кВ 800кВА</t>
  </si>
  <si>
    <t>2015</t>
  </si>
  <si>
    <t>Трансформатор</t>
  </si>
  <si>
    <t>ТМ 6/0,4кВ 180кВА</t>
  </si>
  <si>
    <t>ТМ 6/0,4кВ 250кВА</t>
  </si>
  <si>
    <t xml:space="preserve">  механический износ выключатели отработали более 43 лет (1976 года )</t>
  </si>
  <si>
    <t xml:space="preserve">показатель замены выключателей15 кВ Вз=9 шт. показатель замены силовых трансформаторов,Рз_тр 1060 кВА </t>
  </si>
  <si>
    <t>ячейки РУ-6кВ 10 шт</t>
  </si>
  <si>
    <t>ячейки РУ-15кВ    9 шт</t>
  </si>
  <si>
    <t xml:space="preserve">Модернизация оборудования для обеспечения надежности электроснабжения.
</t>
  </si>
  <si>
    <t>отдельные ячейки с воздушными выключателями нагрузки</t>
  </si>
  <si>
    <t>J 19-09</t>
  </si>
  <si>
    <t>Сметная стоимость проекта в прогнозных ценах   года начала строительства с НДС, млн. руб.</t>
  </si>
  <si>
    <t>2024</t>
  </si>
  <si>
    <t>1976</t>
  </si>
  <si>
    <t xml:space="preserve"> РУ-15кВ с РЗА и ПА на микропроцессорной базе 9 ячеек, РУ 6 кВ на 10 ячеек</t>
  </si>
  <si>
    <t>Показатель замены выключателей 9 шт. Показатель замены силовых трансорматоров 0,25 МВА.  Показатель установки новых силовых трансформаторов 0,8 МВА. Замена ячеек РУ-15кВ с маслянными выключателями, с РЗА на базе электромеханикив количестве 9 шт. шкафами КРУ-15кВ с вакуумными выключателями и РЗА и ПА на микропроцессорной базе, установка 2-го трансформатора 15/6 кВ  800 кВА, замена трансформатора 6 /0,4 кВ  180 кВА на 250 кВА,установка РУ 6 кВ на 10 ячеек сэлегазовыми выключателями.</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</si>
  <si>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</si>
  <si>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</si>
  <si>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</si>
  <si>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</si>
  <si>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</si>
  <si>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</si>
  <si>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</si>
  <si>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</si>
  <si>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</si>
  <si>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</si>
  <si>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</si>
  <si>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</si>
  <si>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</si>
  <si>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</si>
  <si>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Год раскрытия информации: 2024  год</t>
  </si>
  <si>
    <t xml:space="preserve"> по состоянию на 01.01.2024</t>
  </si>
  <si>
    <t>Годы</t>
  </si>
  <si>
    <t>Индекс-дефлятор</t>
  </si>
  <si>
    <t>Прогноз социально-экономического развития Российской Федерации на 2023 год и на плановый период 2024 и 2029 гг.Минэкономразвития России 28 сентября 2022 г</t>
  </si>
  <si>
    <t>Прогноз социально-экономического развития Российской Федерации на 2024 год и на плановый период 2025 и 2026 годов (опубликовано 22 сентября 2023 г.))</t>
  </si>
  <si>
    <t>Предложение по корректировке утв. плана 2024</t>
  </si>
  <si>
    <t>Реконструкция ТП 15/6/0,4кВ  ТП-5 с заменой ячеек КРУ 15кВ с  маслянными выключателями SCI-20 ячейки  на КРУ-15кВ с вакуумными выключателями 9 шт., заменой ячеек КРУ 6 кВ с воздушными выключателями нагрузки на КРУ  с элегазовыми выключателями нагрузки;  с установкой 2-го трансформатора 15 кВ мощностью 0,8 МВА,с приростом мощности на 0,8 МВА; заменой трансформатора 6 кВ мощностью 0,18 МВА  на 0,25 МВА, с приростом мощности 0,07 МВА, в п.Северный, Багратионовского р-на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</si>
</sst>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0.000"/>
    <numFmt numFmtId="175" formatCode="_-* #,##0\ _₽_-;\-* #,##0\ _₽_-;_-* &quot;-&quot;??\ _₽_-;_-@_-"/>
    <numFmt numFmtId="176" formatCode="_-* #,##0.0000\ _₽_-;\-* #,##0.0000\ _₽_-;_-* &quot;-&quot;??\ _₽_-;_-@_-"/>
    <numFmt numFmtId="177" formatCode="0.000000000"/>
  </numFmts>
  <fonts count="88"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1"/>
      <name val="Calibri"/>
      <family val="2"/>
    </font>
    <font>
      <sz val="10"/>
      <color rgb="FF000000"/>
      <name val="Arial Cyr"/>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name val="Times New Roman Cyr"/>
      <charset val="204"/>
    </font>
    <font>
      <u/>
      <sz val="11"/>
      <color theme="10"/>
      <name val="Calibri"/>
      <family val="2"/>
      <charset val="204"/>
      <scheme val="minor"/>
    </font>
    <font>
      <sz val="10"/>
      <color rgb="FF000000"/>
      <name val="Arial"/>
      <family val="2"/>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u/>
      <sz val="10"/>
      <name val="Times New Roman"/>
      <family val="1"/>
      <charset val="204"/>
    </font>
    <font>
      <b/>
      <u/>
      <sz val="10"/>
      <color rgb="FF000000"/>
      <name val="Times New Roman"/>
      <family val="1"/>
      <charset val="204"/>
    </font>
    <font>
      <sz val="10"/>
      <color rgb="FFFFFFFF"/>
      <name val="Times New Roman"/>
      <family val="1"/>
      <charset val="204"/>
    </font>
    <font>
      <sz val="10"/>
      <color rgb="FFC0C0C0"/>
      <name val="Times New Roman"/>
      <family val="1"/>
      <charset val="204"/>
    </font>
    <font>
      <sz val="10"/>
      <color theme="8" tint="0.79998168889431442"/>
      <name val="Times New Roman"/>
      <family val="1"/>
      <charset val="204"/>
    </font>
    <font>
      <sz val="10"/>
      <color theme="8" tint="0.79998168889431442"/>
      <name val="Arial Cyr"/>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s>
  <borders count="6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
      <left style="thin">
        <color rgb="FF000000"/>
      </left>
      <right style="thin">
        <color rgb="FF000000"/>
      </right>
      <top style="thin">
        <color rgb="FF000000"/>
      </top>
      <bottom style="thin">
        <color rgb="FF000000"/>
      </bottom>
      <diagonal/>
    </border>
  </borders>
  <cellStyleXfs count="130">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1" fillId="0" borderId="0" applyFont="0" applyFill="0" applyBorder="0" applyAlignment="0" applyProtection="0"/>
    <xf numFmtId="0" fontId="10" fillId="0" borderId="0"/>
    <xf numFmtId="165" fontId="1" fillId="0" borderId="0" applyFont="0" applyFill="0" applyBorder="0" applyAlignment="0" applyProtection="0"/>
    <xf numFmtId="9" fontId="40" fillId="0" borderId="0" applyFont="0" applyFill="0" applyBorder="0" applyAlignment="0" applyProtection="0"/>
    <xf numFmtId="9" fontId="2" fillId="0" borderId="0" applyFont="0" applyFill="0" applyBorder="0" applyAlignment="0" applyProtection="0"/>
    <xf numFmtId="0" fontId="1" fillId="0" borderId="0"/>
    <xf numFmtId="165"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0" fillId="0" borderId="0" applyFont="0" applyFill="0" applyBorder="0" applyAlignment="0" applyProtection="0"/>
    <xf numFmtId="0" fontId="10" fillId="0" borderId="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0" fillId="0" borderId="0"/>
    <xf numFmtId="0" fontId="75" fillId="0" borderId="0" applyNumberFormat="0" applyFill="0" applyBorder="0" applyAlignment="0" applyProtection="0"/>
    <xf numFmtId="0" fontId="10" fillId="0" borderId="0"/>
  </cellStyleXfs>
  <cellXfs count="413">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1"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8" fillId="0" borderId="1" xfId="2" applyFont="1" applyBorder="1" applyAlignment="1">
      <alignment horizontal="center" vertical="center" wrapText="1"/>
    </xf>
    <xf numFmtId="0" fontId="42"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2" fillId="0" borderId="2" xfId="45" applyFont="1" applyBorder="1" applyAlignment="1">
      <alignment horizontal="left" vertical="center" wrapText="1"/>
    </xf>
    <xf numFmtId="0" fontId="38" fillId="0" borderId="1" xfId="2" applyFont="1" applyBorder="1" applyAlignment="1">
      <alignment horizontal="left" vertical="center" wrapText="1"/>
    </xf>
    <xf numFmtId="49" fontId="38"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8" fillId="0" borderId="10" xfId="2" applyFont="1" applyBorder="1" applyAlignment="1">
      <alignment horizontal="center" vertical="center" wrapText="1"/>
    </xf>
    <xf numFmtId="0" fontId="38"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8" fillId="0" borderId="0" xfId="52" applyFont="1"/>
    <xf numFmtId="0" fontId="11" fillId="0" borderId="0" xfId="2" applyFont="1"/>
    <xf numFmtId="0" fontId="7" fillId="0" borderId="0" xfId="2" applyFont="1" applyAlignment="1">
      <alignment vertical="center"/>
    </xf>
    <xf numFmtId="0" fontId="44" fillId="0" borderId="0" xfId="2" applyFont="1"/>
    <xf numFmtId="0" fontId="39" fillId="0" borderId="1" xfId="45" applyFont="1" applyBorder="1" applyAlignment="1">
      <alignment horizontal="left" vertical="center" wrapText="1"/>
    </xf>
    <xf numFmtId="0" fontId="38" fillId="0" borderId="1" xfId="62" applyFont="1" applyBorder="1" applyAlignment="1">
      <alignment horizontal="center" vertical="center" wrapText="1"/>
    </xf>
    <xf numFmtId="49" fontId="10" fillId="0" borderId="0" xfId="62" applyNumberFormat="1" applyFont="1" applyAlignment="1">
      <alignment horizontal="left" vertical="center" wrapText="1"/>
    </xf>
    <xf numFmtId="0" fontId="10" fillId="0" borderId="0" xfId="62" applyFont="1" applyAlignment="1">
      <alignment horizontal="left" vertical="center" wrapText="1"/>
    </xf>
    <xf numFmtId="0" fontId="38" fillId="0" borderId="1" xfId="62" applyFont="1" applyBorder="1" applyAlignment="1">
      <alignment horizontal="center" vertical="top"/>
    </xf>
    <xf numFmtId="0" fontId="36" fillId="0" borderId="0" xfId="2" applyFont="1"/>
    <xf numFmtId="2" fontId="45" fillId="0" borderId="0" xfId="2" applyNumberFormat="1" applyFont="1" applyAlignment="1">
      <alignment horizontal="right" vertical="top" wrapText="1"/>
    </xf>
    <xf numFmtId="0" fontId="36" fillId="0" borderId="0" xfId="2" applyFont="1" applyAlignment="1">
      <alignment horizontal="right"/>
    </xf>
    <xf numFmtId="0" fontId="37" fillId="0" borderId="25" xfId="2" applyFont="1" applyBorder="1" applyAlignment="1">
      <alignment horizontal="justify"/>
    </xf>
    <xf numFmtId="0" fontId="36" fillId="0" borderId="26" xfId="2" applyFont="1" applyBorder="1" applyAlignment="1">
      <alignment horizontal="justify"/>
    </xf>
    <xf numFmtId="0" fontId="37" fillId="0" borderId="25" xfId="2" applyFont="1" applyBorder="1" applyAlignment="1">
      <alignment vertical="top" wrapText="1"/>
    </xf>
    <xf numFmtId="0" fontId="37" fillId="0" borderId="27" xfId="2" applyFont="1" applyBorder="1" applyAlignment="1">
      <alignment vertical="top" wrapText="1"/>
    </xf>
    <xf numFmtId="0" fontId="37" fillId="0" borderId="26" xfId="2" applyFont="1" applyBorder="1" applyAlignment="1">
      <alignment vertical="top" wrapText="1"/>
    </xf>
    <xf numFmtId="0" fontId="36" fillId="0" borderId="25" xfId="2" applyFont="1" applyBorder="1" applyAlignment="1">
      <alignment horizontal="justify" vertical="top" wrapText="1"/>
    </xf>
    <xf numFmtId="0" fontId="36" fillId="0" borderId="26" xfId="2" applyFont="1" applyBorder="1" applyAlignment="1">
      <alignment vertical="top" wrapText="1"/>
    </xf>
    <xf numFmtId="0" fontId="36" fillId="0" borderId="25" xfId="2" applyFont="1" applyBorder="1" applyAlignment="1">
      <alignment vertical="top" wrapText="1"/>
    </xf>
    <xf numFmtId="0" fontId="36" fillId="0" borderId="29" xfId="2" applyFont="1" applyBorder="1" applyAlignment="1">
      <alignment vertical="top" wrapText="1"/>
    </xf>
    <xf numFmtId="0" fontId="36" fillId="0" borderId="27" xfId="2" applyFont="1" applyBorder="1" applyAlignment="1">
      <alignment vertical="top" wrapText="1"/>
    </xf>
    <xf numFmtId="0" fontId="37" fillId="0" borderId="27" xfId="2" applyFont="1" applyBorder="1" applyAlignment="1">
      <alignment horizontal="justify" vertical="top" wrapText="1"/>
    </xf>
    <xf numFmtId="0" fontId="37" fillId="0" borderId="25" xfId="2" applyFont="1" applyBorder="1" applyAlignment="1">
      <alignment horizontal="justify" vertical="top" wrapText="1"/>
    </xf>
    <xf numFmtId="0" fontId="36" fillId="0" borderId="30" xfId="2" quotePrefix="1" applyFont="1" applyBorder="1" applyAlignment="1">
      <alignment horizontal="justify" vertical="top" wrapText="1"/>
    </xf>
    <xf numFmtId="0" fontId="36" fillId="0" borderId="31" xfId="2" applyFont="1" applyBorder="1" applyAlignment="1">
      <alignment horizontal="justify" vertical="top" wrapText="1"/>
    </xf>
    <xf numFmtId="0" fontId="36" fillId="0" borderId="30" xfId="2" applyFont="1" applyBorder="1" applyAlignment="1">
      <alignment vertical="top" wrapText="1"/>
    </xf>
    <xf numFmtId="0" fontId="37" fillId="0" borderId="26" xfId="2" applyFont="1" applyBorder="1" applyAlignment="1">
      <alignment horizontal="left" vertical="center" wrapText="1"/>
    </xf>
    <xf numFmtId="0" fontId="36" fillId="0" borderId="30" xfId="2" applyFont="1" applyBorder="1" applyAlignment="1">
      <alignment horizontal="justify" vertical="top" wrapText="1"/>
    </xf>
    <xf numFmtId="0" fontId="37" fillId="0" borderId="26" xfId="2" applyFont="1" applyBorder="1" applyAlignment="1">
      <alignment horizontal="center" vertical="center" wrapText="1"/>
    </xf>
    <xf numFmtId="0" fontId="36" fillId="0" borderId="27" xfId="2" applyFont="1" applyBorder="1"/>
    <xf numFmtId="1" fontId="37" fillId="0" borderId="0" xfId="2" applyNumberFormat="1" applyFont="1" applyAlignment="1">
      <alignment horizontal="left" vertical="top"/>
    </xf>
    <xf numFmtId="49" fontId="36" fillId="0" borderId="0" xfId="2" applyNumberFormat="1" applyFont="1" applyAlignment="1">
      <alignment horizontal="left" vertical="top" wrapText="1"/>
    </xf>
    <xf numFmtId="49" fontId="36" fillId="0" borderId="0" xfId="2" applyNumberFormat="1" applyFont="1" applyAlignment="1">
      <alignment horizontal="left" vertical="top"/>
    </xf>
    <xf numFmtId="0" fontId="36" fillId="0" borderId="0" xfId="2" applyFont="1" applyAlignment="1">
      <alignment horizontal="center" vertical="center"/>
    </xf>
    <xf numFmtId="0" fontId="44" fillId="0" borderId="0" xfId="2" applyFont="1" applyAlignment="1">
      <alignment horizontal="center"/>
    </xf>
    <xf numFmtId="0" fontId="38" fillId="0" borderId="0" xfId="0" applyFont="1"/>
    <xf numFmtId="0" fontId="38" fillId="0" borderId="0" xfId="0" applyFont="1" applyAlignment="1">
      <alignment vertical="center"/>
    </xf>
    <xf numFmtId="0" fontId="2" fillId="0" borderId="1" xfId="1" applyBorder="1" applyAlignment="1">
      <alignment vertical="center"/>
    </xf>
    <xf numFmtId="172" fontId="36" fillId="0" borderId="25" xfId="2" applyNumberFormat="1" applyFont="1" applyBorder="1" applyAlignment="1">
      <alignment horizontal="justify" vertical="top" wrapText="1"/>
    </xf>
    <xf numFmtId="0" fontId="36" fillId="24" borderId="25" xfId="2" applyFont="1" applyFill="1" applyBorder="1" applyAlignment="1">
      <alignment horizontal="justify" vertical="top" wrapText="1"/>
    </xf>
    <xf numFmtId="172" fontId="36" fillId="24" borderId="25" xfId="2" applyNumberFormat="1" applyFont="1" applyFill="1" applyBorder="1" applyAlignment="1">
      <alignment horizontal="justify" vertical="top" wrapText="1"/>
    </xf>
    <xf numFmtId="10" fontId="36" fillId="0" borderId="25" xfId="2" applyNumberFormat="1" applyFont="1" applyBorder="1" applyAlignment="1">
      <alignment horizontal="justify" vertical="top" wrapText="1"/>
    </xf>
    <xf numFmtId="10" fontId="36" fillId="0" borderId="31" xfId="2" applyNumberFormat="1" applyFont="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3" fontId="38" fillId="0" borderId="1" xfId="2" applyNumberFormat="1" applyFont="1" applyBorder="1" applyAlignment="1">
      <alignment horizontal="center" vertical="center" wrapText="1"/>
    </xf>
    <xf numFmtId="165" fontId="10" fillId="0" borderId="0" xfId="2" applyNumberFormat="1"/>
    <xf numFmtId="173" fontId="10" fillId="0" borderId="1" xfId="2" applyNumberFormat="1" applyBorder="1" applyAlignment="1">
      <alignment horizontal="center" vertical="center" wrapText="1"/>
    </xf>
    <xf numFmtId="173" fontId="38" fillId="0" borderId="1" xfId="62" applyNumberFormat="1" applyFont="1" applyBorder="1" applyAlignment="1" applyProtection="1">
      <alignment horizontal="center" vertical="center" wrapText="1"/>
      <protection locked="0"/>
    </xf>
    <xf numFmtId="173" fontId="35" fillId="0" borderId="1" xfId="2" applyNumberFormat="1" applyFont="1" applyBorder="1" applyAlignment="1">
      <alignment horizontal="center" vertical="center" wrapText="1"/>
    </xf>
    <xf numFmtId="4" fontId="36" fillId="0" borderId="25" xfId="2" applyNumberFormat="1" applyFont="1" applyBorder="1" applyAlignment="1">
      <alignment horizontal="justify" vertical="top" wrapText="1"/>
    </xf>
    <xf numFmtId="0" fontId="38" fillId="0" borderId="0" xfId="0" applyFont="1" applyAlignment="1">
      <alignment horizontal="center" vertical="center"/>
    </xf>
    <xf numFmtId="0" fontId="38" fillId="0" borderId="2" xfId="62" applyFont="1" applyBorder="1" applyAlignment="1">
      <alignment horizontal="center" vertical="center" wrapText="1"/>
    </xf>
    <xf numFmtId="0" fontId="36" fillId="0" borderId="26" xfId="2" applyFont="1" applyBorder="1" applyAlignment="1">
      <alignment horizontal="left" vertical="top" wrapText="1"/>
    </xf>
    <xf numFmtId="0" fontId="51" fillId="0" borderId="0" xfId="1" applyFont="1" applyAlignment="1">
      <alignment horizontal="left" vertical="center"/>
    </xf>
    <xf numFmtId="0" fontId="50" fillId="0" borderId="0" xfId="1" applyFont="1"/>
    <xf numFmtId="0" fontId="44"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Border="1" applyAlignment="1">
      <alignment horizontal="center" vertical="center" wrapText="1"/>
    </xf>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4"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6" fillId="0" borderId="0" xfId="49" applyFont="1"/>
    <xf numFmtId="0" fontId="37"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6" fillId="0" borderId="0" xfId="49" applyNumberFormat="1" applyFont="1"/>
    <xf numFmtId="0" fontId="38" fillId="0" borderId="1" xfId="49" applyFont="1" applyBorder="1" applyAlignment="1">
      <alignment horizontal="center" vertical="center" wrapText="1"/>
    </xf>
    <xf numFmtId="0" fontId="38" fillId="0" borderId="1" xfId="49" applyFont="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8" fillId="0" borderId="1" xfId="2" applyNumberFormat="1" applyFont="1" applyBorder="1" applyAlignment="1">
      <alignment horizontal="right" vertical="center" wrapText="1" shrinkToFit="1"/>
    </xf>
    <xf numFmtId="0" fontId="38" fillId="0" borderId="1" xfId="2" applyFont="1" applyBorder="1" applyAlignment="1">
      <alignment horizontal="center" vertical="top" wrapText="1" shrinkToFit="1"/>
    </xf>
    <xf numFmtId="0" fontId="38" fillId="0" borderId="1" xfId="2" applyFont="1" applyBorder="1" applyAlignment="1">
      <alignment horizontal="center" vertical="center" wrapText="1" shrinkToFit="1"/>
    </xf>
    <xf numFmtId="0" fontId="36" fillId="25" borderId="25" xfId="2" applyFont="1" applyFill="1" applyBorder="1" applyAlignment="1">
      <alignment horizontal="justify" vertical="top" wrapText="1"/>
    </xf>
    <xf numFmtId="4" fontId="36"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8" fillId="0" borderId="1" xfId="2" applyFont="1" applyBorder="1" applyAlignment="1">
      <alignment horizontal="left" vertical="top" wrapText="1" shrinkToFit="1"/>
    </xf>
    <xf numFmtId="14" fontId="10" fillId="0" borderId="1" xfId="2" applyNumberFormat="1" applyBorder="1" applyAlignment="1">
      <alignment horizontal="center" vertical="center" wrapText="1" shrinkToFit="1"/>
    </xf>
    <xf numFmtId="14" fontId="38" fillId="0" borderId="1" xfId="2" applyNumberFormat="1" applyFont="1" applyBorder="1" applyAlignment="1">
      <alignment horizontal="center" vertical="top" wrapText="1" shrinkToFit="1"/>
    </xf>
    <xf numFmtId="0" fontId="41"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8" fillId="26" borderId="1" xfId="2" applyFont="1" applyFill="1" applyBorder="1" applyAlignment="1">
      <alignment horizontal="left" vertical="top" wrapText="1" shrinkToFit="1"/>
    </xf>
    <xf numFmtId="0" fontId="53" fillId="0" borderId="0" xfId="2" applyFont="1" applyAlignment="1">
      <alignment vertical="center"/>
    </xf>
    <xf numFmtId="0" fontId="10" fillId="0" borderId="1" xfId="45" applyFont="1" applyBorder="1" applyAlignment="1">
      <alignment horizontal="left" vertical="center" wrapText="1"/>
    </xf>
    <xf numFmtId="0" fontId="38" fillId="0" borderId="1" xfId="45" applyFont="1" applyBorder="1" applyAlignment="1">
      <alignment horizontal="left" vertical="center" wrapText="1"/>
    </xf>
    <xf numFmtId="0" fontId="10" fillId="0" borderId="2" xfId="45" applyFont="1" applyBorder="1" applyAlignment="1">
      <alignment horizontal="left" vertical="center" wrapTex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1" fillId="26" borderId="1" xfId="3" applyNumberFormat="1" applyFont="1" applyFill="1" applyBorder="1" applyAlignment="1">
      <alignment horizontal="center" vertical="center" wrapText="1"/>
    </xf>
    <xf numFmtId="0" fontId="41" fillId="26" borderId="1" xfId="3" applyFont="1" applyFill="1" applyBorder="1" applyAlignment="1">
      <alignment horizontal="center" vertical="center" wrapText="1"/>
    </xf>
    <xf numFmtId="14" fontId="36" fillId="0" borderId="30" xfId="2" applyNumberFormat="1" applyFont="1" applyBorder="1" applyAlignment="1">
      <alignment horizontal="justify" vertical="top" wrapText="1"/>
    </xf>
    <xf numFmtId="4" fontId="38" fillId="0" borderId="34" xfId="62" applyNumberFormat="1" applyFont="1" applyBorder="1" applyAlignment="1">
      <alignment horizontal="left" vertical="center" wrapText="1"/>
    </xf>
    <xf numFmtId="0" fontId="36" fillId="0" borderId="25" xfId="2" applyFont="1" applyBorder="1" applyAlignment="1">
      <alignment horizontal="left" vertical="top" wrapText="1"/>
    </xf>
    <xf numFmtId="0" fontId="36" fillId="0" borderId="30" xfId="2" applyFont="1" applyBorder="1" applyAlignment="1">
      <alignment horizontal="left" vertical="top" wrapText="1"/>
    </xf>
    <xf numFmtId="0" fontId="35" fillId="0" borderId="1" xfId="1" applyFont="1" applyBorder="1" applyAlignment="1">
      <alignment horizontal="center" vertical="center" wrapText="1"/>
    </xf>
    <xf numFmtId="49" fontId="6" fillId="0" borderId="4" xfId="1" applyNumberFormat="1" applyFont="1" applyBorder="1" applyAlignment="1">
      <alignment vertical="center"/>
    </xf>
    <xf numFmtId="0" fontId="6" fillId="0" borderId="1" xfId="1" applyFont="1" applyBorder="1" applyAlignment="1">
      <alignment vertical="center"/>
    </xf>
    <xf numFmtId="0" fontId="3" fillId="0" borderId="1" xfId="1" applyFont="1" applyBorder="1" applyAlignment="1">
      <alignment horizontal="center" vertical="center"/>
    </xf>
    <xf numFmtId="49" fontId="68" fillId="0" borderId="1" xfId="0" applyNumberFormat="1" applyFont="1" applyBorder="1" applyAlignment="1">
      <alignment horizontal="center" vertical="center" wrapText="1"/>
    </xf>
    <xf numFmtId="0" fontId="11" fillId="0" borderId="1" xfId="1" applyFont="1" applyBorder="1" applyAlignment="1">
      <alignment horizontal="center" vertical="center"/>
    </xf>
    <xf numFmtId="0" fontId="58" fillId="0" borderId="1" xfId="1" applyFont="1" applyBorder="1" applyAlignment="1">
      <alignment horizontal="center" vertical="center"/>
    </xf>
    <xf numFmtId="0" fontId="58" fillId="0" borderId="4" xfId="1" applyFont="1" applyBorder="1" applyAlignment="1">
      <alignment horizontal="center" vertical="center"/>
    </xf>
    <xf numFmtId="0" fontId="69" fillId="0" borderId="1" xfId="1" applyFont="1" applyBorder="1"/>
    <xf numFmtId="14" fontId="10" fillId="0" borderId="1" xfId="2" applyNumberFormat="1" applyBorder="1" applyAlignment="1">
      <alignment horizontal="center" vertical="center" shrinkToFit="1"/>
    </xf>
    <xf numFmtId="14" fontId="42" fillId="0" borderId="2" xfId="62" applyNumberFormat="1" applyFont="1" applyBorder="1" applyAlignment="1" applyProtection="1">
      <alignment horizontal="center" vertical="center"/>
      <protection locked="0"/>
    </xf>
    <xf numFmtId="14" fontId="42" fillId="0" borderId="2" xfId="62" applyNumberFormat="1" applyFont="1" applyBorder="1" applyAlignment="1" applyProtection="1">
      <alignment horizontal="center" vertical="center" wrapText="1"/>
      <protection locked="0"/>
    </xf>
    <xf numFmtId="3" fontId="73" fillId="0" borderId="33" xfId="67" applyNumberFormat="1" applyFont="1" applyBorder="1" applyAlignment="1">
      <alignment vertical="center"/>
    </xf>
    <xf numFmtId="0" fontId="69" fillId="0" borderId="0" xfId="1" applyFont="1"/>
    <xf numFmtId="0" fontId="74" fillId="0" borderId="1" xfId="0" applyFont="1" applyBorder="1" applyAlignment="1">
      <alignment horizontal="center" vertical="center" wrapText="1"/>
    </xf>
    <xf numFmtId="0" fontId="10" fillId="0" borderId="1" xfId="62" applyFont="1" applyBorder="1" applyAlignment="1">
      <alignment horizontal="center" vertical="center"/>
    </xf>
    <xf numFmtId="0" fontId="42" fillId="0" borderId="1" xfId="1" applyFont="1" applyBorder="1" applyAlignment="1">
      <alignment horizontal="center" vertical="center" wrapText="1"/>
    </xf>
    <xf numFmtId="0" fontId="36" fillId="0" borderId="25" xfId="2" applyFont="1" applyBorder="1" applyAlignment="1">
      <alignment horizontal="justify"/>
    </xf>
    <xf numFmtId="0" fontId="36" fillId="0" borderId="28" xfId="2" applyFont="1" applyBorder="1" applyAlignment="1">
      <alignment horizontal="justify" vertical="top" wrapText="1"/>
    </xf>
    <xf numFmtId="2" fontId="36" fillId="0" borderId="25" xfId="2" applyNumberFormat="1" applyFont="1" applyBorder="1" applyAlignment="1">
      <alignment horizontal="justify" vertical="top" wrapText="1"/>
    </xf>
    <xf numFmtId="174" fontId="10" fillId="0" borderId="1" xfId="1" applyNumberFormat="1" applyFont="1" applyBorder="1" applyAlignment="1">
      <alignment horizontal="left" vertical="center" wrapText="1"/>
    </xf>
    <xf numFmtId="14" fontId="36" fillId="0" borderId="25" xfId="2" applyNumberFormat="1" applyFont="1" applyBorder="1" applyAlignment="1">
      <alignment horizontal="justify"/>
    </xf>
    <xf numFmtId="0" fontId="75" fillId="0" borderId="25" xfId="128" applyFill="1" applyBorder="1" applyAlignment="1">
      <alignment horizontal="justify"/>
    </xf>
    <xf numFmtId="0" fontId="28" fillId="0" borderId="0" xfId="0" applyFont="1"/>
    <xf numFmtId="0" fontId="76" fillId="0" borderId="0" xfId="0" applyFont="1"/>
    <xf numFmtId="0" fontId="41" fillId="0" borderId="0" xfId="0" applyFont="1" applyAlignment="1">
      <alignment horizontal="right" vertical="center"/>
    </xf>
    <xf numFmtId="0" fontId="70" fillId="0" borderId="0" xfId="0" applyFont="1"/>
    <xf numFmtId="0" fontId="77" fillId="0" borderId="0" xfId="0" applyFont="1"/>
    <xf numFmtId="0" fontId="78" fillId="0" borderId="0" xfId="0" applyFont="1"/>
    <xf numFmtId="0" fontId="41" fillId="0" borderId="0" xfId="0" applyFont="1" applyAlignment="1">
      <alignment horizontal="right"/>
    </xf>
    <xf numFmtId="0" fontId="79" fillId="0" borderId="0" xfId="0" applyFont="1" applyAlignment="1">
      <alignment horizontal="left" vertical="center"/>
    </xf>
    <xf numFmtId="0" fontId="80" fillId="0" borderId="0" xfId="0" applyFont="1" applyAlignment="1">
      <alignment horizontal="left" vertical="center"/>
    </xf>
    <xf numFmtId="0" fontId="81" fillId="0" borderId="0" xfId="0" applyFont="1" applyAlignment="1">
      <alignment vertical="center"/>
    </xf>
    <xf numFmtId="0" fontId="71" fillId="0" borderId="0" xfId="0" applyFont="1" applyAlignment="1">
      <alignment vertical="center"/>
    </xf>
    <xf numFmtId="0" fontId="81" fillId="0" borderId="0" xfId="0" applyFont="1" applyAlignment="1">
      <alignment horizontal="center" vertical="center"/>
    </xf>
    <xf numFmtId="0" fontId="83" fillId="0" borderId="0" xfId="0" applyFont="1" applyAlignment="1">
      <alignment vertical="center"/>
    </xf>
    <xf numFmtId="0" fontId="72" fillId="0" borderId="0" xfId="0" applyFont="1" applyAlignment="1">
      <alignment vertical="center"/>
    </xf>
    <xf numFmtId="0" fontId="41" fillId="0" borderId="0" xfId="0" applyFont="1" applyAlignment="1">
      <alignment horizontal="center" vertical="center"/>
    </xf>
    <xf numFmtId="0" fontId="72" fillId="0" borderId="0" xfId="0" applyFont="1" applyAlignment="1">
      <alignment horizontal="center" vertical="center"/>
    </xf>
    <xf numFmtId="0" fontId="83" fillId="0" borderId="0" xfId="0" applyFont="1" applyAlignment="1">
      <alignment vertical="center" wrapText="1"/>
    </xf>
    <xf numFmtId="0" fontId="72" fillId="0" borderId="0" xfId="0" applyFont="1"/>
    <xf numFmtId="0" fontId="83" fillId="0" borderId="0" xfId="0" applyFont="1" applyAlignment="1">
      <alignment horizontal="center" vertical="center"/>
    </xf>
    <xf numFmtId="0" fontId="71" fillId="0" borderId="0" xfId="0" applyFont="1" applyAlignment="1">
      <alignment vertical="center" wrapText="1"/>
    </xf>
    <xf numFmtId="0" fontId="71" fillId="0" borderId="0" xfId="0" applyFont="1" applyAlignment="1">
      <alignment horizontal="center" vertical="center"/>
    </xf>
    <xf numFmtId="0" fontId="71" fillId="0" borderId="0" xfId="0" applyFont="1" applyAlignment="1">
      <alignment horizontal="left" vertical="center"/>
    </xf>
    <xf numFmtId="0" fontId="72" fillId="0" borderId="32" xfId="0" applyFont="1" applyBorder="1" applyAlignment="1">
      <alignment vertical="center"/>
    </xf>
    <xf numFmtId="0" fontId="72" fillId="0" borderId="34" xfId="0" applyFont="1" applyBorder="1" applyAlignment="1">
      <alignment vertical="center"/>
    </xf>
    <xf numFmtId="3" fontId="72" fillId="0" borderId="41" xfId="0" applyNumberFormat="1" applyFont="1" applyBorder="1" applyAlignment="1">
      <alignment vertical="center"/>
    </xf>
    <xf numFmtId="0" fontId="72" fillId="0" borderId="42" xfId="0" applyFont="1" applyBorder="1" applyAlignment="1">
      <alignment vertical="center"/>
    </xf>
    <xf numFmtId="0" fontId="72" fillId="0" borderId="43" xfId="0" applyFont="1" applyBorder="1" applyAlignment="1">
      <alignment vertical="center"/>
    </xf>
    <xf numFmtId="3" fontId="72" fillId="0" borderId="44" xfId="0" applyNumberFormat="1" applyFont="1" applyBorder="1" applyAlignment="1">
      <alignment vertical="center"/>
    </xf>
    <xf numFmtId="4" fontId="41" fillId="0" borderId="48" xfId="0" applyNumberFormat="1" applyFont="1" applyBorder="1" applyAlignment="1">
      <alignment horizontal="center" vertical="center"/>
    </xf>
    <xf numFmtId="4" fontId="84" fillId="0" borderId="5" xfId="0" applyNumberFormat="1" applyFont="1" applyBorder="1" applyAlignment="1">
      <alignment horizontal="center" vertical="center"/>
    </xf>
    <xf numFmtId="3" fontId="41" fillId="0" borderId="48" xfId="0" applyNumberFormat="1" applyFont="1" applyBorder="1" applyAlignment="1">
      <alignment horizontal="center" vertical="center"/>
    </xf>
    <xf numFmtId="3" fontId="84" fillId="0" borderId="5" xfId="0" applyNumberFormat="1" applyFont="1" applyBorder="1" applyAlignment="1">
      <alignment horizontal="center" vertical="center"/>
    </xf>
    <xf numFmtId="0" fontId="72" fillId="0" borderId="48" xfId="0" applyFont="1" applyBorder="1" applyAlignment="1">
      <alignment horizontal="center" vertical="center"/>
    </xf>
    <xf numFmtId="0" fontId="84" fillId="0" borderId="5" xfId="0" applyFont="1" applyBorder="1" applyAlignment="1">
      <alignment horizontal="center" vertical="center"/>
    </xf>
    <xf numFmtId="0" fontId="72" fillId="0" borderId="49" xfId="0" applyFont="1" applyBorder="1" applyAlignment="1">
      <alignment vertical="center"/>
    </xf>
    <xf numFmtId="0" fontId="72" fillId="0" borderId="37" xfId="0" applyFont="1" applyBorder="1" applyAlignment="1">
      <alignment vertical="center"/>
    </xf>
    <xf numFmtId="10" fontId="72" fillId="0" borderId="35" xfId="0" applyNumberFormat="1" applyFont="1" applyBorder="1" applyAlignment="1">
      <alignment vertical="center"/>
    </xf>
    <xf numFmtId="3" fontId="72" fillId="0" borderId="33" xfId="0" applyNumberFormat="1" applyFont="1" applyBorder="1" applyAlignment="1">
      <alignment vertical="center"/>
    </xf>
    <xf numFmtId="9" fontId="72" fillId="0" borderId="50" xfId="0" applyNumberFormat="1" applyFont="1" applyBorder="1" applyAlignment="1">
      <alignment vertical="center"/>
    </xf>
    <xf numFmtId="0" fontId="72" fillId="0" borderId="38" xfId="0" applyFont="1" applyBorder="1" applyAlignment="1">
      <alignment vertical="center"/>
    </xf>
    <xf numFmtId="3" fontId="72" fillId="0" borderId="32" xfId="0" applyNumberFormat="1" applyFont="1" applyBorder="1" applyAlignment="1">
      <alignment vertical="center"/>
    </xf>
    <xf numFmtId="0" fontId="72" fillId="0" borderId="51" xfId="0" applyFont="1" applyBorder="1" applyAlignment="1">
      <alignment vertical="center"/>
    </xf>
    <xf numFmtId="10" fontId="72" fillId="0" borderId="36" xfId="0" applyNumberFormat="1" applyFont="1" applyBorder="1" applyAlignment="1">
      <alignment vertical="center"/>
    </xf>
    <xf numFmtId="10" fontId="72" fillId="0" borderId="42" xfId="0" applyNumberFormat="1" applyFont="1" applyBorder="1" applyAlignment="1">
      <alignment vertical="center"/>
    </xf>
    <xf numFmtId="10" fontId="72" fillId="0" borderId="42" xfId="67" applyNumberFormat="1" applyFont="1" applyBorder="1" applyAlignment="1">
      <alignment vertical="center"/>
    </xf>
    <xf numFmtId="10" fontId="41" fillId="0" borderId="42" xfId="0" applyNumberFormat="1" applyFont="1" applyBorder="1" applyAlignment="1">
      <alignment vertical="center"/>
    </xf>
    <xf numFmtId="0" fontId="72" fillId="0" borderId="52" xfId="0" applyFont="1" applyBorder="1" applyAlignment="1">
      <alignment vertical="center"/>
    </xf>
    <xf numFmtId="0" fontId="85" fillId="0" borderId="0" xfId="0" applyFont="1" applyAlignment="1">
      <alignment vertical="center"/>
    </xf>
    <xf numFmtId="0" fontId="72" fillId="0" borderId="39" xfId="0" applyFont="1" applyBorder="1" applyAlignment="1">
      <alignment horizontal="left" vertical="center"/>
    </xf>
    <xf numFmtId="1" fontId="72" fillId="0" borderId="24" xfId="0" applyNumberFormat="1" applyFont="1" applyBorder="1" applyAlignment="1">
      <alignment horizontal="center" vertical="center"/>
    </xf>
    <xf numFmtId="1" fontId="72" fillId="0" borderId="53" xfId="0" applyNumberFormat="1" applyFont="1" applyBorder="1" applyAlignment="1">
      <alignment horizontal="center" vertical="center"/>
    </xf>
    <xf numFmtId="0" fontId="72" fillId="0" borderId="54" xfId="0" applyFont="1" applyBorder="1" applyAlignment="1">
      <alignment vertical="center"/>
    </xf>
    <xf numFmtId="10" fontId="72" fillId="0" borderId="48" xfId="67" applyNumberFormat="1" applyFont="1" applyBorder="1" applyAlignment="1">
      <alignment vertical="center"/>
    </xf>
    <xf numFmtId="10" fontId="72" fillId="0" borderId="48" xfId="0" applyNumberFormat="1" applyFont="1" applyBorder="1" applyAlignment="1">
      <alignment vertical="center"/>
    </xf>
    <xf numFmtId="0" fontId="72" fillId="0" borderId="40" xfId="0" applyFont="1" applyBorder="1" applyAlignment="1">
      <alignment vertical="center"/>
    </xf>
    <xf numFmtId="3" fontId="72" fillId="0" borderId="23" xfId="67" applyNumberFormat="1" applyFont="1" applyBorder="1" applyAlignment="1">
      <alignment vertical="center"/>
    </xf>
    <xf numFmtId="0" fontId="72" fillId="0" borderId="55" xfId="0" applyFont="1" applyBorder="1" applyAlignment="1">
      <alignment vertical="center"/>
    </xf>
    <xf numFmtId="0" fontId="72" fillId="0" borderId="56" xfId="0" applyFont="1" applyBorder="1" applyAlignment="1">
      <alignment vertical="center"/>
    </xf>
    <xf numFmtId="0" fontId="71" fillId="0" borderId="39" xfId="0" applyFont="1" applyBorder="1" applyAlignment="1">
      <alignment vertical="center"/>
    </xf>
    <xf numFmtId="3" fontId="72" fillId="0" borderId="48" xfId="0" applyNumberFormat="1" applyFont="1" applyBorder="1" applyAlignment="1">
      <alignment vertical="center"/>
    </xf>
    <xf numFmtId="3" fontId="72" fillId="0" borderId="57" xfId="0" applyNumberFormat="1" applyFont="1" applyBorder="1" applyAlignment="1">
      <alignment vertical="center"/>
    </xf>
    <xf numFmtId="3" fontId="72" fillId="0" borderId="23" xfId="0" applyNumberFormat="1" applyFont="1" applyBorder="1" applyAlignment="1">
      <alignment vertical="center"/>
    </xf>
    <xf numFmtId="3" fontId="72" fillId="0" borderId="58" xfId="0" applyNumberFormat="1" applyFont="1" applyBorder="1" applyAlignment="1">
      <alignment vertical="center"/>
    </xf>
    <xf numFmtId="3" fontId="85" fillId="0" borderId="0" xfId="0" applyNumberFormat="1" applyFont="1" applyAlignment="1">
      <alignment horizontal="center" vertical="center"/>
    </xf>
    <xf numFmtId="3" fontId="85" fillId="0" borderId="56" xfId="0" applyNumberFormat="1" applyFont="1" applyBorder="1" applyAlignment="1">
      <alignment horizontal="center" vertical="center"/>
    </xf>
    <xf numFmtId="175" fontId="41" fillId="0" borderId="48" xfId="0" applyNumberFormat="1" applyFont="1" applyBorder="1" applyAlignment="1">
      <alignment horizontal="center" vertical="center"/>
    </xf>
    <xf numFmtId="0" fontId="72" fillId="0" borderId="54" xfId="0" applyFont="1" applyBorder="1" applyAlignment="1">
      <alignment horizontal="left" vertical="center"/>
    </xf>
    <xf numFmtId="3" fontId="72" fillId="0" borderId="48" xfId="0" applyNumberFormat="1" applyFont="1" applyBorder="1" applyAlignment="1">
      <alignment horizontal="right" vertical="center"/>
    </xf>
    <xf numFmtId="165" fontId="72" fillId="0" borderId="48" xfId="0" applyNumberFormat="1" applyFont="1" applyBorder="1" applyAlignment="1">
      <alignment vertical="center"/>
    </xf>
    <xf numFmtId="0" fontId="71" fillId="0" borderId="54" xfId="0" applyFont="1" applyBorder="1" applyAlignment="1">
      <alignment horizontal="left" vertical="center"/>
    </xf>
    <xf numFmtId="175" fontId="81" fillId="0" borderId="48" xfId="0" applyNumberFormat="1" applyFont="1" applyBorder="1" applyAlignment="1">
      <alignment horizontal="center" vertical="center"/>
    </xf>
    <xf numFmtId="175" fontId="41" fillId="0" borderId="48" xfId="0" applyNumberFormat="1" applyFont="1" applyBorder="1" applyAlignment="1">
      <alignment horizontal="center"/>
    </xf>
    <xf numFmtId="175" fontId="72" fillId="0" borderId="48" xfId="0" applyNumberFormat="1" applyFont="1" applyBorder="1" applyAlignment="1">
      <alignment vertical="center"/>
    </xf>
    <xf numFmtId="0" fontId="71" fillId="0" borderId="40" xfId="0" applyFont="1" applyBorder="1" applyAlignment="1">
      <alignment horizontal="left" vertical="center"/>
    </xf>
    <xf numFmtId="175" fontId="81" fillId="0" borderId="23" xfId="0" applyNumberFormat="1" applyFont="1" applyBorder="1" applyAlignment="1">
      <alignment horizontal="center" vertical="center"/>
    </xf>
    <xf numFmtId="168" fontId="85" fillId="0" borderId="0" xfId="0" applyNumberFormat="1" applyFont="1" applyAlignment="1">
      <alignment horizontal="center" vertical="center"/>
    </xf>
    <xf numFmtId="0" fontId="71" fillId="0" borderId="54" xfId="0" applyFont="1" applyBorder="1" applyAlignment="1">
      <alignment vertical="center"/>
    </xf>
    <xf numFmtId="3" fontId="41" fillId="0" borderId="48" xfId="67" applyNumberFormat="1" applyFont="1" applyBorder="1" applyAlignment="1">
      <alignment vertical="center"/>
    </xf>
    <xf numFmtId="0" fontId="72" fillId="0" borderId="54" xfId="0" applyFont="1" applyBorder="1" applyAlignment="1">
      <alignment horizontal="left" vertical="center" wrapText="1"/>
    </xf>
    <xf numFmtId="176" fontId="41" fillId="0" borderId="48" xfId="0" applyNumberFormat="1" applyFont="1" applyBorder="1" applyAlignment="1">
      <alignment horizontal="center"/>
    </xf>
    <xf numFmtId="170" fontId="81" fillId="0" borderId="48" xfId="0" applyNumberFormat="1" applyFont="1" applyBorder="1" applyAlignment="1">
      <alignment horizontal="center" vertical="center"/>
    </xf>
    <xf numFmtId="164" fontId="81" fillId="0" borderId="48" xfId="0" applyNumberFormat="1" applyFont="1" applyBorder="1" applyAlignment="1">
      <alignment horizontal="center" vertical="center"/>
    </xf>
    <xf numFmtId="0" fontId="71" fillId="0" borderId="40" xfId="0" applyFont="1" applyBorder="1" applyAlignment="1">
      <alignment vertical="center"/>
    </xf>
    <xf numFmtId="164" fontId="81" fillId="0" borderId="23" xfId="0" applyNumberFormat="1" applyFont="1" applyBorder="1" applyAlignment="1">
      <alignment horizontal="center" vertical="center"/>
    </xf>
    <xf numFmtId="0" fontId="72" fillId="0" borderId="59" xfId="0" applyFont="1" applyBorder="1" applyAlignment="1">
      <alignment vertical="center"/>
    </xf>
    <xf numFmtId="171" fontId="72" fillId="0" borderId="0" xfId="0" applyNumberFormat="1" applyFont="1" applyAlignment="1">
      <alignment vertical="center"/>
    </xf>
    <xf numFmtId="0" fontId="72" fillId="27" borderId="0" xfId="0" applyFont="1" applyFill="1" applyAlignment="1">
      <alignment vertical="center"/>
    </xf>
    <xf numFmtId="173" fontId="10" fillId="0" borderId="0" xfId="2" applyNumberFormat="1" applyAlignment="1">
      <alignment wrapText="1"/>
    </xf>
    <xf numFmtId="0" fontId="38" fillId="0" borderId="0" xfId="2" applyFont="1"/>
    <xf numFmtId="173" fontId="10" fillId="0" borderId="0" xfId="2" applyNumberFormat="1" applyAlignment="1">
      <alignment horizontal="left" vertical="center" wrapText="1"/>
    </xf>
    <xf numFmtId="177" fontId="70" fillId="0" borderId="0" xfId="0" applyNumberFormat="1" applyFont="1"/>
    <xf numFmtId="0" fontId="41" fillId="0" borderId="48" xfId="129" applyFont="1" applyBorder="1" applyAlignment="1">
      <alignment horizontal="center" vertical="center" wrapText="1"/>
    </xf>
    <xf numFmtId="177" fontId="41" fillId="0" borderId="48" xfId="0" applyNumberFormat="1" applyFont="1" applyBorder="1" applyAlignment="1">
      <alignment horizontal="center" wrapText="1"/>
    </xf>
    <xf numFmtId="0" fontId="86" fillId="0" borderId="0" xfId="0" applyFont="1" applyAlignment="1">
      <alignment vertical="center"/>
    </xf>
    <xf numFmtId="0" fontId="87" fillId="0" borderId="0" xfId="0" applyFont="1"/>
    <xf numFmtId="2" fontId="73" fillId="0" borderId="48" xfId="0" applyNumberFormat="1" applyFont="1" applyBorder="1" applyAlignment="1">
      <alignment horizontal="center" vertical="center" wrapText="1"/>
    </xf>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8"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7" fillId="0" borderId="0" xfId="1" applyFont="1" applyAlignment="1">
      <alignment horizontal="center" vertical="center"/>
    </xf>
    <xf numFmtId="0" fontId="4" fillId="0" borderId="0" xfId="1" applyFont="1" applyAlignment="1">
      <alignment horizontal="center" vertical="center" wrapText="1"/>
    </xf>
    <xf numFmtId="0" fontId="52" fillId="0" borderId="0" xfId="1" applyFont="1" applyAlignment="1">
      <alignment horizontal="center" vertical="center"/>
    </xf>
    <xf numFmtId="0" fontId="38" fillId="0" borderId="1" xfId="1" applyFont="1" applyBorder="1" applyAlignment="1">
      <alignment horizontal="center" vertical="center" wrapText="1"/>
    </xf>
    <xf numFmtId="0" fontId="44" fillId="0" borderId="0" xfId="1" applyFont="1" applyAlignment="1">
      <alignment horizontal="center" vertical="center"/>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4" fillId="0" borderId="1" xfId="1" applyFont="1" applyBorder="1" applyAlignment="1">
      <alignment horizontal="center" vertical="center" wrapText="1"/>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Alignment="1">
      <alignment horizontal="left" vertical="top"/>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38" fillId="0" borderId="10"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6" xfId="62" applyFont="1" applyBorder="1" applyAlignment="1">
      <alignment horizontal="center" vertical="center" wrapText="1"/>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52" fillId="0" borderId="0" xfId="1" applyFont="1" applyAlignment="1">
      <alignment horizontal="center" vertical="center" wrapText="1"/>
    </xf>
    <xf numFmtId="0" fontId="36" fillId="0" borderId="0" xfId="49" applyFont="1" applyAlignment="1">
      <alignment horizontal="center"/>
    </xf>
    <xf numFmtId="0" fontId="37"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44" fillId="0" borderId="0" xfId="1" applyFont="1" applyAlignment="1">
      <alignment horizontal="center" vertical="center" wrapText="1"/>
    </xf>
    <xf numFmtId="0" fontId="81" fillId="0" borderId="0" xfId="0" applyFont="1" applyAlignment="1">
      <alignment horizontal="center" vertical="center"/>
    </xf>
    <xf numFmtId="0" fontId="82" fillId="0" borderId="0" xfId="0" applyFont="1" applyAlignment="1">
      <alignment horizontal="center" vertical="center"/>
    </xf>
    <xf numFmtId="0" fontId="41" fillId="0" borderId="0" xfId="0" applyFont="1" applyAlignment="1">
      <alignment horizontal="center" vertical="center"/>
    </xf>
    <xf numFmtId="0" fontId="72" fillId="0" borderId="0" xfId="0" applyFont="1" applyAlignment="1">
      <alignment horizontal="left" vertical="center" wrapText="1"/>
    </xf>
    <xf numFmtId="0" fontId="70" fillId="0" borderId="0" xfId="62" applyFont="1" applyAlignment="1">
      <alignment horizontal="center" vertical="center" wrapText="1"/>
    </xf>
    <xf numFmtId="0" fontId="72" fillId="0" borderId="45" xfId="0" applyFont="1" applyBorder="1" applyAlignment="1">
      <alignment horizontal="center" vertical="center"/>
    </xf>
    <xf numFmtId="0" fontId="72" fillId="0" borderId="46" xfId="0" applyFont="1" applyBorder="1" applyAlignment="1">
      <alignment horizontal="center" vertical="center"/>
    </xf>
    <xf numFmtId="0" fontId="72" fillId="0" borderId="47" xfId="0" applyFont="1" applyBorder="1" applyAlignment="1">
      <alignment horizontal="center" vertical="center"/>
    </xf>
    <xf numFmtId="0" fontId="82" fillId="0" borderId="0" xfId="0" applyFont="1" applyAlignment="1">
      <alignment horizontal="center" vertical="center" wrapText="1"/>
    </xf>
    <xf numFmtId="0" fontId="72" fillId="0" borderId="0" xfId="0" applyFont="1" applyAlignment="1">
      <alignment horizontal="center" vertical="center"/>
    </xf>
    <xf numFmtId="0" fontId="83" fillId="0" borderId="0" xfId="0" applyFont="1" applyAlignment="1">
      <alignment horizontal="center" vertical="center"/>
    </xf>
    <xf numFmtId="0" fontId="72" fillId="0" borderId="48" xfId="0" applyFont="1" applyBorder="1" applyAlignment="1">
      <alignment horizontal="center" vertical="center" wrapText="1"/>
    </xf>
    <xf numFmtId="49" fontId="72" fillId="0" borderId="60" xfId="0" applyNumberFormat="1" applyFont="1" applyBorder="1" applyAlignment="1">
      <alignment horizontal="center" vertical="center" wrapText="1"/>
    </xf>
    <xf numFmtId="0" fontId="38" fillId="0" borderId="1" xfId="2" applyFont="1" applyBorder="1" applyAlignment="1">
      <alignment horizontal="center" vertical="center" wrapText="1" shrinkToFit="1"/>
    </xf>
    <xf numFmtId="0" fontId="38" fillId="0" borderId="10" xfId="2" applyFont="1" applyBorder="1" applyAlignment="1">
      <alignment horizontal="center" vertical="center" wrapText="1" shrinkToFit="1"/>
    </xf>
    <xf numFmtId="0" fontId="38" fillId="0" borderId="6" xfId="2" applyFont="1" applyBorder="1" applyAlignment="1">
      <alignment horizontal="center" vertical="center" wrapText="1" shrinkToFit="1"/>
    </xf>
    <xf numFmtId="0" fontId="38" fillId="0" borderId="2" xfId="2" applyFont="1" applyBorder="1" applyAlignment="1">
      <alignment horizontal="center" vertical="center" wrapText="1" shrinkToFit="1"/>
    </xf>
    <xf numFmtId="0" fontId="38" fillId="0" borderId="1" xfId="2" applyFont="1" applyBorder="1" applyAlignment="1">
      <alignment horizontal="center" vertical="center" wrapText="1"/>
    </xf>
    <xf numFmtId="0" fontId="38" fillId="0" borderId="0" xfId="2" applyFont="1" applyAlignment="1">
      <alignment horizontal="center" vertical="top" wrapText="1"/>
    </xf>
    <xf numFmtId="0" fontId="10" fillId="0" borderId="0" xfId="2" applyAlignment="1">
      <alignment horizontal="left" vertical="center" wrapText="1"/>
    </xf>
    <xf numFmtId="0" fontId="10" fillId="0" borderId="0" xfId="2" applyAlignment="1">
      <alignment horizontal="left" wrapText="1"/>
    </xf>
    <xf numFmtId="0" fontId="38" fillId="0" borderId="10" xfId="2" applyFont="1" applyBorder="1" applyAlignment="1">
      <alignment horizontal="center" vertical="center" wrapText="1"/>
    </xf>
    <xf numFmtId="0" fontId="38" fillId="0" borderId="6" xfId="2" applyFont="1" applyBorder="1" applyAlignment="1">
      <alignment horizontal="center" vertical="center" wrapText="1"/>
    </xf>
    <xf numFmtId="0" fontId="38" fillId="0" borderId="2" xfId="2" applyFont="1" applyBorder="1" applyAlignment="1">
      <alignment horizontal="center" vertical="center" wrapText="1"/>
    </xf>
    <xf numFmtId="0" fontId="38" fillId="0" borderId="4" xfId="52" applyFont="1" applyBorder="1" applyAlignment="1">
      <alignment horizontal="center" vertical="center"/>
    </xf>
    <xf numFmtId="0" fontId="38" fillId="0" borderId="7" xfId="52" applyFont="1" applyBorder="1" applyAlignment="1">
      <alignment horizontal="center" vertical="center"/>
    </xf>
    <xf numFmtId="0" fontId="10" fillId="0" borderId="0" xfId="2" applyAlignment="1">
      <alignment horizontal="left"/>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8" fillId="0" borderId="1" xfId="2" applyFont="1" applyBorder="1" applyAlignment="1">
      <alignment horizontal="center" vertical="center"/>
    </xf>
    <xf numFmtId="0" fontId="38" fillId="0" borderId="0" xfId="2" applyFont="1" applyAlignment="1">
      <alignment horizontal="center"/>
    </xf>
    <xf numFmtId="0" fontId="38" fillId="0" borderId="1" xfId="52" applyFont="1" applyBorder="1" applyAlignment="1">
      <alignment horizontal="center" vertical="center" wrapText="1"/>
    </xf>
    <xf numFmtId="0" fontId="38" fillId="0" borderId="3" xfId="52" applyFont="1" applyBorder="1" applyAlignment="1">
      <alignment horizontal="center" vertical="center"/>
    </xf>
    <xf numFmtId="0" fontId="38" fillId="0" borderId="1" xfId="49" applyFont="1" applyBorder="1" applyAlignment="1">
      <alignment horizontal="center" vertical="center" wrapText="1"/>
    </xf>
    <xf numFmtId="0" fontId="38" fillId="0" borderId="10" xfId="45" applyFont="1" applyBorder="1" applyAlignment="1">
      <alignment horizontal="center" vertical="center" textRotation="90" wrapText="1"/>
    </xf>
    <xf numFmtId="0" fontId="38" fillId="0" borderId="2" xfId="45" applyFont="1" applyBorder="1" applyAlignment="1">
      <alignment horizontal="center" vertical="center" textRotation="90" wrapText="1"/>
    </xf>
    <xf numFmtId="0" fontId="38" fillId="0" borderId="10" xfId="2" applyFont="1" applyBorder="1" applyAlignment="1">
      <alignment horizontal="center" vertical="center" textRotation="90" wrapText="1"/>
    </xf>
    <xf numFmtId="0" fontId="38" fillId="0" borderId="2" xfId="2" applyFont="1" applyBorder="1" applyAlignment="1">
      <alignment horizontal="center" vertical="center" textRotation="90" wrapText="1"/>
    </xf>
    <xf numFmtId="0" fontId="38" fillId="0" borderId="10" xfId="49" applyFont="1" applyBorder="1" applyAlignment="1">
      <alignment horizontal="center" vertical="center" wrapText="1"/>
    </xf>
    <xf numFmtId="0" fontId="38" fillId="0" borderId="2" xfId="49" applyFont="1" applyBorder="1" applyAlignment="1">
      <alignment horizontal="center" vertical="center" wrapText="1"/>
    </xf>
    <xf numFmtId="0" fontId="38" fillId="0" borderId="1" xfId="49" applyFont="1" applyBorder="1" applyAlignment="1">
      <alignment horizontal="center" vertical="center" textRotation="90" wrapText="1"/>
    </xf>
    <xf numFmtId="0" fontId="64" fillId="0" borderId="1" xfId="49" applyFont="1" applyBorder="1" applyAlignment="1">
      <alignment horizontal="center" vertical="center" wrapText="1"/>
    </xf>
    <xf numFmtId="0" fontId="37" fillId="0" borderId="1" xfId="49" applyFont="1" applyBorder="1" applyAlignment="1">
      <alignment horizontal="center" vertical="center" wrapText="1"/>
    </xf>
    <xf numFmtId="0" fontId="38" fillId="0" borderId="10" xfId="49" applyFont="1" applyBorder="1" applyAlignment="1">
      <alignment horizontal="center" vertical="center" textRotation="90" wrapText="1"/>
    </xf>
    <xf numFmtId="0" fontId="38" fillId="0" borderId="2" xfId="49" applyFont="1" applyBorder="1" applyAlignment="1">
      <alignment horizontal="center" vertical="center" textRotation="90" wrapText="1"/>
    </xf>
    <xf numFmtId="0" fontId="38" fillId="0" borderId="10" xfId="49" applyFont="1" applyBorder="1" applyAlignment="1">
      <alignment horizontal="center" vertical="center"/>
    </xf>
    <xf numFmtId="0" fontId="38" fillId="0" borderId="2" xfId="49" applyFont="1" applyBorder="1" applyAlignment="1">
      <alignment horizontal="center" vertical="center"/>
    </xf>
    <xf numFmtId="0" fontId="37" fillId="0" borderId="20" xfId="49" applyFont="1" applyBorder="1" applyAlignment="1">
      <alignment horizontal="center"/>
    </xf>
    <xf numFmtId="1" fontId="38" fillId="0" borderId="10" xfId="49" applyNumberFormat="1" applyFont="1" applyBorder="1" applyAlignment="1">
      <alignment horizontal="center" vertical="center" wrapText="1"/>
    </xf>
    <xf numFmtId="1" fontId="38" fillId="0" borderId="6" xfId="49" applyNumberFormat="1" applyFont="1" applyBorder="1" applyAlignment="1">
      <alignment horizontal="center" vertical="center" wrapText="1"/>
    </xf>
    <xf numFmtId="1" fontId="38" fillId="0" borderId="2" xfId="49" applyNumberFormat="1" applyFont="1" applyBorder="1" applyAlignment="1">
      <alignment horizontal="center" vertical="center" wrapText="1"/>
    </xf>
    <xf numFmtId="0" fontId="38" fillId="0" borderId="6" xfId="49" applyFont="1" applyBorder="1" applyAlignment="1">
      <alignment horizontal="center" vertical="center" wrapText="1"/>
    </xf>
    <xf numFmtId="0" fontId="38" fillId="0" borderId="9" xfId="49" applyFont="1" applyBorder="1" applyAlignment="1">
      <alignment horizontal="center" vertical="center" wrapText="1"/>
    </xf>
    <xf numFmtId="0" fontId="38" fillId="0" borderId="5" xfId="49" applyFont="1" applyBorder="1" applyAlignment="1">
      <alignment horizontal="center" vertical="center" wrapText="1"/>
    </xf>
    <xf numFmtId="0" fontId="38" fillId="0" borderId="22" xfId="49" applyFont="1" applyBorder="1" applyAlignment="1">
      <alignment horizontal="center" vertical="center" wrapText="1"/>
    </xf>
    <xf numFmtId="0" fontId="38" fillId="0" borderId="4" xfId="49" applyFont="1" applyBorder="1" applyAlignment="1">
      <alignment horizontal="center" vertical="center" wrapText="1"/>
    </xf>
    <xf numFmtId="0" fontId="38" fillId="0" borderId="7" xfId="49" applyFont="1" applyBorder="1" applyAlignment="1">
      <alignment horizontal="center" vertical="center" wrapText="1"/>
    </xf>
    <xf numFmtId="0" fontId="38" fillId="0" borderId="3" xfId="49" applyFont="1" applyBorder="1" applyAlignment="1">
      <alignment horizontal="center" vertical="center" wrapText="1"/>
    </xf>
    <xf numFmtId="0" fontId="37" fillId="0" borderId="0" xfId="2" applyFont="1" applyAlignment="1">
      <alignment horizontal="center" wrapText="1"/>
    </xf>
    <xf numFmtId="0" fontId="37" fillId="0" borderId="0" xfId="2" applyFont="1" applyAlignment="1">
      <alignment horizontal="center"/>
    </xf>
    <xf numFmtId="0" fontId="36" fillId="0" borderId="26" xfId="2" applyFont="1" applyBorder="1" applyAlignment="1">
      <alignment horizontal="left" vertical="top" wrapText="1"/>
    </xf>
    <xf numFmtId="0" fontId="36" fillId="0" borderId="29" xfId="2" applyFont="1" applyBorder="1" applyAlignment="1">
      <alignment horizontal="left" vertical="top" wrapText="1"/>
    </xf>
    <xf numFmtId="0" fontId="36" fillId="0" borderId="27" xfId="2" applyFont="1" applyBorder="1" applyAlignment="1">
      <alignment horizontal="left" vertical="top" wrapText="1"/>
    </xf>
    <xf numFmtId="0" fontId="44" fillId="0" borderId="0" xfId="2" applyFont="1" applyAlignment="1">
      <alignment horizontal="center"/>
    </xf>
  </cellXfs>
  <cellStyles count="130">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Гиперссылка" xfId="128" builtinId="8"/>
    <cellStyle name="Заголовок 1 2" xfId="32" xr:uid="{00000000-0005-0000-0000-000035000000}"/>
    <cellStyle name="Заголовок 2 2" xfId="33" xr:uid="{00000000-0005-0000-0000-000036000000}"/>
    <cellStyle name="Заголовок 3 2" xfId="34" xr:uid="{00000000-0005-0000-0000-000037000000}"/>
    <cellStyle name="Заголовок 4 2" xfId="35" xr:uid="{00000000-0005-0000-0000-000038000000}"/>
    <cellStyle name="Итог 2" xfId="36" xr:uid="{00000000-0005-0000-0000-000039000000}"/>
    <cellStyle name="Итог 2 2" xfId="90" xr:uid="{00000000-0005-0000-0000-00003A000000}"/>
    <cellStyle name="Итог 2 2 2" xfId="111" xr:uid="{00000000-0005-0000-0000-00003B000000}"/>
    <cellStyle name="Итог 2 3" xfId="103" xr:uid="{00000000-0005-0000-0000-00003C000000}"/>
    <cellStyle name="Итог 2 4" xfId="115" xr:uid="{00000000-0005-0000-0000-00003D000000}"/>
    <cellStyle name="Итог 2 5" xfId="119" xr:uid="{00000000-0005-0000-0000-00003E000000}"/>
    <cellStyle name="Итог 2 6" xfId="101" xr:uid="{00000000-0005-0000-0000-00003F000000}"/>
    <cellStyle name="Итог 2 7" xfId="95" xr:uid="{00000000-0005-0000-0000-000040000000}"/>
    <cellStyle name="Итог 2 8" xfId="83" xr:uid="{00000000-0005-0000-0000-000041000000}"/>
    <cellStyle name="Контрольная ячейка 2" xfId="37" xr:uid="{00000000-0005-0000-0000-000042000000}"/>
    <cellStyle name="Название 2" xfId="38" xr:uid="{00000000-0005-0000-0000-000043000000}"/>
    <cellStyle name="Нейтральный 2" xfId="39" xr:uid="{00000000-0005-0000-0000-000044000000}"/>
    <cellStyle name="Обычный" xfId="0" builtinId="0"/>
    <cellStyle name="Обычный 12 2" xfId="40" xr:uid="{00000000-0005-0000-0000-000046000000}"/>
    <cellStyle name="Обычный 14" xfId="129" xr:uid="{B4B09B26-B801-47B9-940B-89564249AB6B}"/>
    <cellStyle name="Обычный 19" xfId="127" xr:uid="{00000000-0005-0000-0000-000047000000}"/>
    <cellStyle name="Обычный 2" xfId="3" xr:uid="{00000000-0005-0000-0000-000048000000}"/>
    <cellStyle name="Обычный 2 2" xfId="62" xr:uid="{00000000-0005-0000-0000-000049000000}"/>
    <cellStyle name="Обычный 2 2 2" xfId="75" xr:uid="{00000000-0005-0000-0000-00004A000000}"/>
    <cellStyle name="Обычный 2 3" xfId="69" xr:uid="{00000000-0005-0000-0000-00004B000000}"/>
    <cellStyle name="Обычный 2 3 2" xfId="122" xr:uid="{00000000-0005-0000-0000-00004C000000}"/>
    <cellStyle name="Обычный 2 3 3" xfId="76" xr:uid="{00000000-0005-0000-0000-00004D000000}"/>
    <cellStyle name="Обычный 2 4" xfId="86" xr:uid="{00000000-0005-0000-0000-00004E000000}"/>
    <cellStyle name="Обычный 2 5" xfId="97" xr:uid="{00000000-0005-0000-0000-00004F000000}"/>
    <cellStyle name="Обычный 2 6" xfId="79" xr:uid="{00000000-0005-0000-0000-000050000000}"/>
    <cellStyle name="Обычный 3" xfId="2" xr:uid="{00000000-0005-0000-0000-000051000000}"/>
    <cellStyle name="Обычный 3 2" xfId="41" xr:uid="{00000000-0005-0000-0000-000052000000}"/>
    <cellStyle name="Обычный 3 2 2 2" xfId="42" xr:uid="{00000000-0005-0000-0000-000053000000}"/>
    <cellStyle name="Обычный 3 21" xfId="63" xr:uid="{00000000-0005-0000-0000-000054000000}"/>
    <cellStyle name="Обычный 4" xfId="43" xr:uid="{00000000-0005-0000-0000-000055000000}"/>
    <cellStyle name="Обычный 4 2" xfId="44" xr:uid="{00000000-0005-0000-0000-000056000000}"/>
    <cellStyle name="Обычный 4 3" xfId="73" xr:uid="{00000000-0005-0000-0000-000057000000}"/>
    <cellStyle name="Обычный 5" xfId="45" xr:uid="{00000000-0005-0000-0000-000058000000}"/>
    <cellStyle name="Обычный 6" xfId="46" xr:uid="{00000000-0005-0000-0000-000059000000}"/>
    <cellStyle name="Обычный 6 2" xfId="47" xr:uid="{00000000-0005-0000-0000-00005A000000}"/>
    <cellStyle name="Обычный 6 2 2" xfId="48" xr:uid="{00000000-0005-0000-0000-00005B000000}"/>
    <cellStyle name="Обычный 6 2 3" xfId="49" xr:uid="{00000000-0005-0000-0000-00005C000000}"/>
    <cellStyle name="Обычный 7" xfId="1" xr:uid="{00000000-0005-0000-0000-00005D000000}"/>
    <cellStyle name="Обычный 7 2" xfId="50" xr:uid="{00000000-0005-0000-0000-00005E000000}"/>
    <cellStyle name="Обычный 8" xfId="51" xr:uid="{00000000-0005-0000-0000-00005F000000}"/>
    <cellStyle name="Обычный_Форматы по компаниям от 12.03" xfId="67" xr:uid="{00000000-0005-0000-0000-000060000000}"/>
    <cellStyle name="Обычный_Форматы по компаниям_last" xfId="52" xr:uid="{00000000-0005-0000-0000-000061000000}"/>
    <cellStyle name="Плохой 2" xfId="53" xr:uid="{00000000-0005-0000-0000-000062000000}"/>
    <cellStyle name="Пояснение 2" xfId="54" xr:uid="{00000000-0005-0000-0000-000063000000}"/>
    <cellStyle name="Примечание 2" xfId="55" xr:uid="{00000000-0005-0000-0000-000064000000}"/>
    <cellStyle name="Примечание 2 2" xfId="91" xr:uid="{00000000-0005-0000-0000-000065000000}"/>
    <cellStyle name="Примечание 2 2 2" xfId="114" xr:uid="{00000000-0005-0000-0000-000066000000}"/>
    <cellStyle name="Примечание 2 3" xfId="120" xr:uid="{00000000-0005-0000-0000-000067000000}"/>
    <cellStyle name="Примечание 2 4" xfId="102" xr:uid="{00000000-0005-0000-0000-000068000000}"/>
    <cellStyle name="Примечание 2 5" xfId="96" xr:uid="{00000000-0005-0000-0000-000069000000}"/>
    <cellStyle name="Примечание 2 6" xfId="84" xr:uid="{00000000-0005-0000-0000-00006A000000}"/>
    <cellStyle name="Процентный" xfId="68" builtinId="5"/>
    <cellStyle name="Процентный 2" xfId="64" xr:uid="{00000000-0005-0000-0000-00006C000000}"/>
    <cellStyle name="Процентный 2 2" xfId="77" xr:uid="{00000000-0005-0000-0000-00006D000000}"/>
    <cellStyle name="Процентный 3" xfId="65" xr:uid="{00000000-0005-0000-0000-00006E000000}"/>
    <cellStyle name="Процентный 4" xfId="71" xr:uid="{00000000-0005-0000-0000-00006F000000}"/>
    <cellStyle name="Процентный 4 2" xfId="121" xr:uid="{00000000-0005-0000-0000-000070000000}"/>
    <cellStyle name="Процентный 4 3" xfId="72" xr:uid="{00000000-0005-0000-0000-000071000000}"/>
    <cellStyle name="Связанная ячейка 2" xfId="56" xr:uid="{00000000-0005-0000-0000-000072000000}"/>
    <cellStyle name="Стиль 1" xfId="66" xr:uid="{00000000-0005-0000-0000-000073000000}"/>
    <cellStyle name="Текст предупреждения 2" xfId="57" xr:uid="{00000000-0005-0000-0000-000074000000}"/>
    <cellStyle name="Финансовый 2" xfId="58" xr:uid="{00000000-0005-0000-0000-000075000000}"/>
    <cellStyle name="Финансовый 2 2" xfId="70" xr:uid="{00000000-0005-0000-0000-000076000000}"/>
    <cellStyle name="Финансовый 2 2 2" xfId="124" xr:uid="{00000000-0005-0000-0000-000077000000}"/>
    <cellStyle name="Финансовый 2 2 2 2 2" xfId="59" xr:uid="{00000000-0005-0000-0000-000078000000}"/>
    <cellStyle name="Финансовый 2 3" xfId="123" xr:uid="{00000000-0005-0000-0000-000079000000}"/>
    <cellStyle name="Финансовый 2 4" xfId="78" xr:uid="{00000000-0005-0000-0000-00007A000000}"/>
    <cellStyle name="Финансовый 3" xfId="60" xr:uid="{00000000-0005-0000-0000-00007B000000}"/>
    <cellStyle name="Финансовый 3 2" xfId="74" xr:uid="{00000000-0005-0000-0000-00007C000000}"/>
    <cellStyle name="Финансовый 3 2 2" xfId="125" xr:uid="{00000000-0005-0000-0000-00007D000000}"/>
    <cellStyle name="Финансовый 4" xfId="85" xr:uid="{00000000-0005-0000-0000-00007E000000}"/>
    <cellStyle name="Финансовый 5" xfId="126" xr:uid="{00000000-0005-0000-0000-00007F000000}"/>
    <cellStyle name="Хороший 2" xfId="61" xr:uid="{00000000-0005-0000-0000-000080000000}"/>
  </cellStyles>
  <dxfs count="14">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 эфф'!$A$86</c:f>
              <c:strCache>
                <c:ptCount val="1"/>
                <c:pt idx="0">
                  <c:v>PV</c:v>
                </c:pt>
              </c:strCache>
            </c:strRef>
          </c:tx>
          <c:marker>
            <c:symbol val="none"/>
          </c:marker>
          <c:val>
            <c:numRef>
              <c:f>'5 анализ эк эфф'!$B$86:$M$86</c:f>
              <c:numCache>
                <c:formatCode>_-* #\ ##0\ _₽_-;\-* #\ ##0\ _₽_-;_-* "-"??\ _₽_-;_-@_-</c:formatCode>
                <c:ptCount val="12"/>
                <c:pt idx="0">
                  <c:v>-11502173.707608489</c:v>
                </c:pt>
                <c:pt idx="1">
                  <c:v>-11043567.204948325</c:v>
                </c:pt>
                <c:pt idx="2">
                  <c:v>-253879.5955112309</c:v>
                </c:pt>
                <c:pt idx="3">
                  <c:v>-204270.93891708236</c:v>
                </c:pt>
                <c:pt idx="4">
                  <c:v>-164146.29020122695</c:v>
                </c:pt>
                <c:pt idx="5">
                  <c:v>-131722.33164295988</c:v>
                </c:pt>
                <c:pt idx="6">
                  <c:v>-105546.74009852558</c:v>
                </c:pt>
                <c:pt idx="7">
                  <c:v>-90194.486993285202</c:v>
                </c:pt>
                <c:pt idx="8">
                  <c:v>-67432.639507391359</c:v>
                </c:pt>
                <c:pt idx="9">
                  <c:v>-197678.02754143058</c:v>
                </c:pt>
                <c:pt idx="10">
                  <c:v>-42756.202586208288</c:v>
                </c:pt>
                <c:pt idx="11">
                  <c:v>-33933.494116038324</c:v>
                </c:pt>
              </c:numCache>
            </c:numRef>
          </c:val>
          <c:smooth val="0"/>
          <c:extLst>
            <c:ext xmlns:c16="http://schemas.microsoft.com/office/drawing/2014/chart" uri="{C3380CC4-5D6E-409C-BE32-E72D297353CC}">
              <c16:uniqueId val="{00000000-AFF8-4013-B530-6B93E8C74A40}"/>
            </c:ext>
          </c:extLst>
        </c:ser>
        <c:ser>
          <c:idx val="1"/>
          <c:order val="1"/>
          <c:tx>
            <c:strRef>
              <c:f>'5 анализ эк эфф'!$A$87</c:f>
              <c:strCache>
                <c:ptCount val="1"/>
                <c:pt idx="0">
                  <c:v>NPV (без учета продажи)</c:v>
                </c:pt>
              </c:strCache>
            </c:strRef>
          </c:tx>
          <c:marker>
            <c:symbol val="none"/>
          </c:marker>
          <c:val>
            <c:numRef>
              <c:f>'5 анализ эк эфф'!$B$87:$M$87</c:f>
              <c:numCache>
                <c:formatCode>_-* #\ ##0\ _₽_-;\-* #\ ##0\ _₽_-;_-* "-"??\ _₽_-;_-@_-</c:formatCode>
                <c:ptCount val="12"/>
                <c:pt idx="0">
                  <c:v>-11502173.707608489</c:v>
                </c:pt>
                <c:pt idx="1">
                  <c:v>-22545740.912556812</c:v>
                </c:pt>
                <c:pt idx="2">
                  <c:v>-22799620.508068044</c:v>
                </c:pt>
                <c:pt idx="3">
                  <c:v>-23003891.446985126</c:v>
                </c:pt>
                <c:pt idx="4">
                  <c:v>-23168037.737186354</c:v>
                </c:pt>
                <c:pt idx="5">
                  <c:v>-23299760.068829313</c:v>
                </c:pt>
                <c:pt idx="6">
                  <c:v>-23405306.808927838</c:v>
                </c:pt>
                <c:pt idx="7">
                  <c:v>-23495501.295921125</c:v>
                </c:pt>
                <c:pt idx="8">
                  <c:v>-23562933.935428515</c:v>
                </c:pt>
                <c:pt idx="9">
                  <c:v>-23760611.962969944</c:v>
                </c:pt>
                <c:pt idx="10">
                  <c:v>-23803368.165556151</c:v>
                </c:pt>
                <c:pt idx="11">
                  <c:v>-23837301.65967219</c:v>
                </c:pt>
              </c:numCache>
            </c:numRef>
          </c:val>
          <c:smooth val="0"/>
          <c:extLst>
            <c:ext xmlns:c16="http://schemas.microsoft.com/office/drawing/2014/chart" uri="{C3380CC4-5D6E-409C-BE32-E72D297353CC}">
              <c16:uniqueId val="{00000002-AFF8-4013-B530-6B93E8C74A40}"/>
            </c:ext>
          </c:extLst>
        </c:ser>
        <c:dLbls>
          <c:showLegendKey val="0"/>
          <c:showVal val="0"/>
          <c:showCatName val="0"/>
          <c:showSerName val="0"/>
          <c:showPercent val="0"/>
          <c:showBubbleSize val="0"/>
        </c:dLbls>
        <c:smooth val="0"/>
        <c:axId val="91480832"/>
        <c:axId val="91482368"/>
      </c:lineChart>
      <c:catAx>
        <c:axId val="914808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1482368"/>
        <c:crosses val="autoZero"/>
        <c:auto val="1"/>
        <c:lblAlgn val="ctr"/>
        <c:lblOffset val="100"/>
        <c:noMultiLvlLbl val="0"/>
      </c:catAx>
      <c:valAx>
        <c:axId val="91482368"/>
        <c:scaling>
          <c:orientation val="minMax"/>
        </c:scaling>
        <c:delete val="0"/>
        <c:axPos val="l"/>
        <c:majorGridlines/>
        <c:numFmt formatCode="_-* #\ ##0\ _₽_-;\-* #\ ##0\ _₽_-;_-* &quot;-&quot;??\ _₽_-;_-@_-"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14808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27152352404535385"/>
          <c:h val="7.0086328494652447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0</xdr:rowOff>
    </xdr:from>
    <xdr:to>
      <xdr:col>7</xdr:col>
      <xdr:colOff>824230</xdr:colOff>
      <xdr:row>44</xdr:row>
      <xdr:rowOff>116205</xdr:rowOff>
    </xdr:to>
    <xdr:graphicFrame macro="">
      <xdr:nvGraphicFramePr>
        <xdr:cNvPr id="3" name="Диаграмма 2">
          <a:extLst>
            <a:ext uri="{FF2B5EF4-FFF2-40B4-BE49-F238E27FC236}">
              <a16:creationId xmlns:a16="http://schemas.microsoft.com/office/drawing/2014/main" id="{D9B6BDCB-1E5C-4D78-830F-8ABC7BCDE2F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J%2019-09_%20&#1082;&#1072;&#1088;&#1090;&#1099;_&#1058;&#1055;-5.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view="pageBreakPreview" zoomScaleSheetLayoutView="100" workbookViewId="0">
      <selection activeCell="C52" sqref="C52"/>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02" t="s">
        <v>627</v>
      </c>
      <c r="B5" s="302"/>
      <c r="C5" s="302"/>
      <c r="D5" s="85"/>
      <c r="E5" s="85"/>
      <c r="F5" s="85"/>
      <c r="G5" s="85"/>
      <c r="H5" s="85"/>
      <c r="I5" s="85"/>
      <c r="J5" s="85"/>
    </row>
    <row r="6" spans="1:22" s="8" customFormat="1" ht="18.75" x14ac:dyDescent="0.3">
      <c r="A6" s="13"/>
      <c r="H6" s="12"/>
    </row>
    <row r="7" spans="1:22" s="8" customFormat="1" ht="18.75" x14ac:dyDescent="0.2">
      <c r="A7" s="306" t="s">
        <v>7</v>
      </c>
      <c r="B7" s="306"/>
      <c r="C7" s="306"/>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09" t="s">
        <v>548</v>
      </c>
      <c r="B9" s="309"/>
      <c r="C9" s="309"/>
      <c r="D9" s="7"/>
      <c r="E9" s="7"/>
      <c r="F9" s="7"/>
      <c r="G9" s="7"/>
      <c r="H9" s="7"/>
      <c r="I9" s="10"/>
      <c r="J9" s="10"/>
      <c r="K9" s="10"/>
      <c r="L9" s="10"/>
      <c r="M9" s="10"/>
      <c r="N9" s="10"/>
      <c r="O9" s="10"/>
      <c r="P9" s="10"/>
      <c r="Q9" s="10"/>
      <c r="R9" s="10"/>
      <c r="S9" s="10"/>
      <c r="T9" s="10"/>
      <c r="U9" s="10"/>
      <c r="V9" s="10"/>
    </row>
    <row r="10" spans="1:22" s="8" customFormat="1" ht="18.75" x14ac:dyDescent="0.2">
      <c r="A10" s="303" t="s">
        <v>6</v>
      </c>
      <c r="B10" s="303"/>
      <c r="C10" s="303"/>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07" t="s">
        <v>607</v>
      </c>
      <c r="B12" s="307"/>
      <c r="C12" s="307"/>
      <c r="D12" s="7"/>
      <c r="E12" s="7"/>
      <c r="F12" s="7"/>
      <c r="G12" s="7"/>
      <c r="H12" s="7"/>
      <c r="I12" s="10"/>
      <c r="J12" s="10"/>
      <c r="K12" s="10"/>
      <c r="L12" s="10"/>
      <c r="M12" s="10"/>
      <c r="N12" s="10"/>
      <c r="O12" s="10"/>
      <c r="P12" s="10"/>
      <c r="Q12" s="10"/>
      <c r="R12" s="10"/>
      <c r="S12" s="10"/>
      <c r="T12" s="10"/>
      <c r="U12" s="10"/>
      <c r="V12" s="10"/>
    </row>
    <row r="13" spans="1:22" s="8" customFormat="1" ht="18.75" x14ac:dyDescent="0.2">
      <c r="A13" s="303" t="s">
        <v>5</v>
      </c>
      <c r="B13" s="303"/>
      <c r="C13" s="303"/>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98.25" customHeight="1" x14ac:dyDescent="0.2">
      <c r="A15" s="308" t="s">
        <v>634</v>
      </c>
      <c r="B15" s="308"/>
      <c r="C15" s="308"/>
      <c r="D15" s="7"/>
      <c r="E15" s="7"/>
      <c r="F15" s="7"/>
      <c r="G15" s="7"/>
      <c r="H15" s="7"/>
      <c r="I15" s="7"/>
      <c r="J15" s="7"/>
      <c r="K15" s="7"/>
      <c r="L15" s="7"/>
      <c r="M15" s="7"/>
      <c r="N15" s="7"/>
      <c r="O15" s="7"/>
      <c r="P15" s="7"/>
      <c r="Q15" s="7"/>
      <c r="R15" s="7"/>
      <c r="S15" s="7"/>
      <c r="T15" s="7"/>
      <c r="U15" s="7"/>
      <c r="V15" s="7"/>
    </row>
    <row r="16" spans="1:22" s="3" customFormat="1" ht="15" customHeight="1" x14ac:dyDescent="0.2">
      <c r="A16" s="303" t="s">
        <v>4</v>
      </c>
      <c r="B16" s="303"/>
      <c r="C16" s="303"/>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04" t="s">
        <v>409</v>
      </c>
      <c r="B18" s="305"/>
      <c r="C18" s="305"/>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39" customHeight="1" x14ac:dyDescent="0.2">
      <c r="A22" s="15" t="s">
        <v>62</v>
      </c>
      <c r="B22" s="23" t="s">
        <v>290</v>
      </c>
      <c r="C22" s="196" t="s">
        <v>575</v>
      </c>
      <c r="D22" s="5"/>
      <c r="E22" s="5"/>
      <c r="F22" s="5"/>
      <c r="G22" s="5"/>
      <c r="H22" s="5"/>
      <c r="I22" s="4"/>
      <c r="J22" s="4"/>
      <c r="K22" s="4"/>
      <c r="L22" s="4"/>
      <c r="M22" s="4"/>
      <c r="N22" s="4"/>
      <c r="O22" s="4"/>
      <c r="P22" s="4"/>
      <c r="Q22" s="4"/>
      <c r="R22" s="4"/>
      <c r="S22" s="4"/>
    </row>
    <row r="23" spans="1:22" s="3" customFormat="1" ht="47.25" x14ac:dyDescent="0.2">
      <c r="A23" s="15" t="s">
        <v>61</v>
      </c>
      <c r="B23" s="18" t="s">
        <v>535</v>
      </c>
      <c r="C23" s="196" t="s">
        <v>576</v>
      </c>
      <c r="D23" s="5"/>
      <c r="E23" s="5"/>
      <c r="F23" s="5"/>
      <c r="G23" s="5"/>
      <c r="H23" s="5"/>
      <c r="I23" s="4"/>
      <c r="J23" s="4"/>
      <c r="K23" s="4"/>
      <c r="L23" s="4"/>
      <c r="M23" s="4"/>
      <c r="N23" s="4"/>
      <c r="O23" s="4"/>
      <c r="P23" s="4"/>
      <c r="Q23" s="4"/>
      <c r="R23" s="4"/>
      <c r="S23" s="4"/>
    </row>
    <row r="24" spans="1:22" s="3" customFormat="1" ht="22.5" customHeight="1" x14ac:dyDescent="0.2">
      <c r="A24" s="299"/>
      <c r="B24" s="300"/>
      <c r="C24" s="301"/>
      <c r="D24" s="5"/>
      <c r="E24" s="5"/>
      <c r="F24" s="5"/>
      <c r="G24" s="5"/>
      <c r="H24" s="5"/>
      <c r="I24" s="4"/>
      <c r="J24" s="4"/>
      <c r="K24" s="4"/>
      <c r="L24" s="4"/>
      <c r="M24" s="4"/>
      <c r="N24" s="4"/>
      <c r="O24" s="4"/>
      <c r="P24" s="4"/>
      <c r="Q24" s="4"/>
      <c r="R24" s="4"/>
      <c r="S24" s="4"/>
    </row>
    <row r="25" spans="1:22" s="3" customFormat="1" ht="58.5" customHeight="1" x14ac:dyDescent="0.2">
      <c r="A25" s="15" t="s">
        <v>60</v>
      </c>
      <c r="B25" s="22" t="s">
        <v>358</v>
      </c>
      <c r="C25" s="16" t="s">
        <v>558</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559</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588</v>
      </c>
      <c r="D27" s="5"/>
      <c r="E27" s="5"/>
      <c r="F27" s="5"/>
      <c r="G27" s="5"/>
      <c r="H27" s="4"/>
      <c r="I27" s="4"/>
      <c r="J27" s="4"/>
      <c r="K27" s="4"/>
      <c r="L27" s="4"/>
      <c r="M27" s="4"/>
      <c r="N27" s="4"/>
      <c r="O27" s="4"/>
      <c r="P27" s="4"/>
      <c r="Q27" s="4"/>
      <c r="R27" s="4"/>
    </row>
    <row r="28" spans="1:22" s="3" customFormat="1" ht="42.75" customHeight="1" x14ac:dyDescent="0.2">
      <c r="A28" s="15" t="s">
        <v>56</v>
      </c>
      <c r="B28" s="22" t="s">
        <v>359</v>
      </c>
      <c r="C28" s="16" t="s">
        <v>436</v>
      </c>
      <c r="D28" s="5"/>
      <c r="E28" s="5"/>
      <c r="F28" s="5"/>
      <c r="G28" s="5"/>
      <c r="H28" s="4"/>
      <c r="I28" s="4"/>
      <c r="J28" s="4"/>
      <c r="K28" s="4"/>
      <c r="L28" s="4"/>
      <c r="M28" s="4"/>
      <c r="N28" s="4"/>
      <c r="O28" s="4"/>
      <c r="P28" s="4"/>
      <c r="Q28" s="4"/>
      <c r="R28" s="4"/>
    </row>
    <row r="29" spans="1:22" s="3" customFormat="1" ht="51.75" customHeight="1" x14ac:dyDescent="0.2">
      <c r="A29" s="15" t="s">
        <v>54</v>
      </c>
      <c r="B29" s="22" t="s">
        <v>360</v>
      </c>
      <c r="C29" s="16" t="s">
        <v>436</v>
      </c>
      <c r="D29" s="5"/>
      <c r="E29" s="5"/>
      <c r="F29" s="5"/>
      <c r="G29" s="5"/>
      <c r="H29" s="4"/>
      <c r="I29" s="4"/>
      <c r="J29" s="4"/>
      <c r="K29" s="4"/>
      <c r="L29" s="4"/>
      <c r="M29" s="4"/>
      <c r="N29" s="4"/>
      <c r="O29" s="4"/>
      <c r="P29" s="4"/>
      <c r="Q29" s="4"/>
      <c r="R29" s="4"/>
    </row>
    <row r="30" spans="1:22" s="3" customFormat="1" ht="51.75" customHeight="1" x14ac:dyDescent="0.2">
      <c r="A30" s="15" t="s">
        <v>52</v>
      </c>
      <c r="B30" s="22" t="s">
        <v>361</v>
      </c>
      <c r="C30" s="16" t="s">
        <v>436</v>
      </c>
      <c r="D30" s="5"/>
      <c r="E30" s="5"/>
      <c r="F30" s="5"/>
      <c r="G30" s="5"/>
      <c r="H30" s="4"/>
      <c r="I30" s="4"/>
      <c r="J30" s="4"/>
      <c r="K30" s="4"/>
      <c r="L30" s="4"/>
      <c r="M30" s="4"/>
      <c r="N30" s="4"/>
      <c r="O30" s="4"/>
      <c r="P30" s="4"/>
      <c r="Q30" s="4"/>
      <c r="R30" s="4"/>
    </row>
    <row r="31" spans="1:22" s="3" customFormat="1" ht="51.75" customHeight="1" x14ac:dyDescent="0.2">
      <c r="A31" s="15" t="s">
        <v>70</v>
      </c>
      <c r="B31" s="22" t="s">
        <v>362</v>
      </c>
      <c r="C31" s="16" t="s">
        <v>560</v>
      </c>
      <c r="D31" s="5"/>
      <c r="E31" s="5"/>
      <c r="F31" s="5"/>
      <c r="G31" s="5"/>
      <c r="H31" s="4"/>
      <c r="I31" s="4"/>
      <c r="J31" s="4"/>
      <c r="K31" s="4"/>
      <c r="L31" s="4"/>
      <c r="M31" s="4"/>
      <c r="N31" s="4"/>
      <c r="O31" s="4"/>
      <c r="P31" s="4"/>
      <c r="Q31" s="4"/>
      <c r="R31" s="4"/>
    </row>
    <row r="32" spans="1:22" s="3" customFormat="1" ht="51.75" customHeight="1" x14ac:dyDescent="0.2">
      <c r="A32" s="15" t="s">
        <v>68</v>
      </c>
      <c r="B32" s="22" t="s">
        <v>363</v>
      </c>
      <c r="C32" s="16" t="s">
        <v>561</v>
      </c>
      <c r="D32" s="5"/>
      <c r="E32" s="5"/>
      <c r="F32" s="5"/>
      <c r="G32" s="5"/>
      <c r="H32" s="4"/>
      <c r="I32" s="4"/>
      <c r="J32" s="4"/>
      <c r="K32" s="4"/>
      <c r="L32" s="4"/>
      <c r="M32" s="4"/>
      <c r="N32" s="4"/>
      <c r="O32" s="4"/>
      <c r="P32" s="4"/>
      <c r="Q32" s="4"/>
      <c r="R32" s="4"/>
    </row>
    <row r="33" spans="1:18" s="3" customFormat="1" ht="101.25" customHeight="1" x14ac:dyDescent="0.2">
      <c r="A33" s="15" t="s">
        <v>67</v>
      </c>
      <c r="B33" s="22" t="s">
        <v>364</v>
      </c>
      <c r="C33" s="22" t="s">
        <v>562</v>
      </c>
      <c r="D33" s="5"/>
      <c r="E33" s="5"/>
      <c r="F33" s="5"/>
      <c r="G33" s="5"/>
      <c r="H33" s="4"/>
      <c r="I33" s="4"/>
      <c r="J33" s="4"/>
      <c r="K33" s="4"/>
      <c r="L33" s="4"/>
      <c r="M33" s="4"/>
      <c r="N33" s="4"/>
      <c r="O33" s="4"/>
      <c r="P33" s="4"/>
      <c r="Q33" s="4"/>
      <c r="R33" s="4"/>
    </row>
    <row r="34" spans="1:18" ht="111" customHeight="1" x14ac:dyDescent="0.25">
      <c r="A34" s="15" t="s">
        <v>378</v>
      </c>
      <c r="B34" s="22" t="s">
        <v>365</v>
      </c>
      <c r="C34" s="16"/>
    </row>
    <row r="35" spans="1:18" ht="58.5" customHeight="1" x14ac:dyDescent="0.25">
      <c r="A35" s="15" t="s">
        <v>368</v>
      </c>
      <c r="B35" s="22" t="s">
        <v>69</v>
      </c>
      <c r="C35" s="16" t="s">
        <v>436</v>
      </c>
    </row>
    <row r="36" spans="1:18" ht="51.75" customHeight="1" x14ac:dyDescent="0.25">
      <c r="A36" s="15" t="s">
        <v>379</v>
      </c>
      <c r="B36" s="22" t="s">
        <v>366</v>
      </c>
      <c r="C36" s="16" t="s">
        <v>563</v>
      </c>
    </row>
    <row r="37" spans="1:18" ht="43.5" customHeight="1" x14ac:dyDescent="0.25">
      <c r="A37" s="15" t="s">
        <v>369</v>
      </c>
      <c r="B37" s="22" t="s">
        <v>367</v>
      </c>
      <c r="C37" s="16" t="s">
        <v>545</v>
      </c>
    </row>
    <row r="38" spans="1:18" ht="43.5" customHeight="1" x14ac:dyDescent="0.25">
      <c r="A38" s="15" t="s">
        <v>380</v>
      </c>
      <c r="B38" s="22" t="s">
        <v>209</v>
      </c>
      <c r="C38" s="16" t="s">
        <v>563</v>
      </c>
    </row>
    <row r="39" spans="1:18" ht="23.25" customHeight="1" x14ac:dyDescent="0.25">
      <c r="A39" s="299"/>
      <c r="B39" s="300"/>
      <c r="C39" s="301"/>
    </row>
    <row r="40" spans="1:18" ht="63" x14ac:dyDescent="0.25">
      <c r="A40" s="15" t="s">
        <v>370</v>
      </c>
      <c r="B40" s="22" t="s">
        <v>421</v>
      </c>
      <c r="C40" s="16" t="s">
        <v>602</v>
      </c>
    </row>
    <row r="41" spans="1:18" ht="169.5" customHeight="1" x14ac:dyDescent="0.25">
      <c r="A41" s="15" t="s">
        <v>381</v>
      </c>
      <c r="B41" s="22" t="s">
        <v>404</v>
      </c>
      <c r="C41" s="123" t="s">
        <v>539</v>
      </c>
    </row>
    <row r="42" spans="1:18" ht="162.75" customHeight="1" x14ac:dyDescent="0.25">
      <c r="A42" s="15" t="s">
        <v>371</v>
      </c>
      <c r="B42" s="22" t="s">
        <v>418</v>
      </c>
      <c r="C42" s="22" t="s">
        <v>539</v>
      </c>
    </row>
    <row r="43" spans="1:18" ht="186" customHeight="1" x14ac:dyDescent="0.25">
      <c r="A43" s="15" t="s">
        <v>384</v>
      </c>
      <c r="B43" s="22" t="s">
        <v>385</v>
      </c>
      <c r="C43" s="87" t="s">
        <v>543</v>
      </c>
    </row>
    <row r="44" spans="1:18" ht="111" customHeight="1" x14ac:dyDescent="0.25">
      <c r="A44" s="15" t="s">
        <v>372</v>
      </c>
      <c r="B44" s="22" t="s">
        <v>410</v>
      </c>
      <c r="C44" s="2" t="s">
        <v>545</v>
      </c>
    </row>
    <row r="45" spans="1:18" ht="120" customHeight="1" x14ac:dyDescent="0.25">
      <c r="A45" s="15" t="s">
        <v>405</v>
      </c>
      <c r="B45" s="22" t="s">
        <v>411</v>
      </c>
      <c r="C45" s="96" t="s">
        <v>539</v>
      </c>
    </row>
    <row r="46" spans="1:18" ht="101.25" customHeight="1" x14ac:dyDescent="0.25">
      <c r="A46" s="15" t="s">
        <v>373</v>
      </c>
      <c r="B46" s="22" t="s">
        <v>412</v>
      </c>
      <c r="C46" s="96" t="s">
        <v>438</v>
      </c>
    </row>
    <row r="47" spans="1:18" ht="18.75" customHeight="1" x14ac:dyDescent="0.25">
      <c r="A47" s="299"/>
      <c r="B47" s="300"/>
      <c r="C47" s="301"/>
    </row>
    <row r="48" spans="1:18" ht="75.75" hidden="1" customHeight="1" x14ac:dyDescent="0.25">
      <c r="A48" s="15" t="s">
        <v>406</v>
      </c>
      <c r="B48" s="22" t="s">
        <v>419</v>
      </c>
      <c r="C48" s="172" t="str">
        <f>CONCATENATE(ROUND('6.2. Паспорт фин осв ввод факт'!AB24,2)," млн.руб.")</f>
        <v>294,53 млн.руб.</v>
      </c>
      <c r="D48" s="1" t="s">
        <v>541</v>
      </c>
    </row>
    <row r="49" spans="1:4" ht="71.25" hidden="1" customHeight="1" x14ac:dyDescent="0.25">
      <c r="A49" s="15" t="s">
        <v>374</v>
      </c>
      <c r="B49" s="22" t="s">
        <v>420</v>
      </c>
      <c r="C49" s="172" t="str">
        <f>CONCATENATE(ROUND('6.2. Паспорт фин осв ввод факт'!AB30,2)," млн.руб.")</f>
        <v>249,6 млн.руб.</v>
      </c>
      <c r="D49" s="1" t="s">
        <v>541</v>
      </c>
    </row>
    <row r="50" spans="1:4" ht="75.75" customHeight="1" x14ac:dyDescent="0.25">
      <c r="A50" s="15" t="s">
        <v>406</v>
      </c>
      <c r="B50" s="22" t="s">
        <v>419</v>
      </c>
      <c r="C50" s="172" t="str">
        <f>CONCATENATE(ROUND('6.2. Паспорт фин осв ввод'!C24,2)," млн.руб.")</f>
        <v>22,6 млн.руб.</v>
      </c>
      <c r="D50" s="1" t="s">
        <v>542</v>
      </c>
    </row>
    <row r="51" spans="1:4" ht="71.25" customHeight="1" x14ac:dyDescent="0.25">
      <c r="A51" s="15" t="s">
        <v>374</v>
      </c>
      <c r="B51" s="22" t="s">
        <v>420</v>
      </c>
      <c r="C51" s="172" t="str">
        <f>CONCATENATE(ROUND('6.2. Паспорт фин осв ввод'!C30,2)," млн.руб.")</f>
        <v>18,83 млн.руб.</v>
      </c>
      <c r="D51" s="1" t="s">
        <v>542</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374" t="str">
        <f>'1. паспорт местоположение'!A5:C5</f>
        <v>Год раскрытия информации: 2024  год</v>
      </c>
      <c r="B4" s="374"/>
      <c r="C4" s="374"/>
      <c r="D4" s="374"/>
      <c r="E4" s="374"/>
      <c r="F4" s="374"/>
      <c r="G4" s="374"/>
      <c r="H4" s="374"/>
      <c r="I4" s="374"/>
      <c r="J4" s="374"/>
      <c r="K4" s="374"/>
      <c r="L4" s="374"/>
      <c r="M4" s="374"/>
      <c r="N4" s="374"/>
      <c r="O4" s="374"/>
      <c r="P4" s="374"/>
      <c r="Q4" s="374"/>
      <c r="R4" s="374"/>
      <c r="S4" s="374"/>
      <c r="T4" s="374"/>
      <c r="U4" s="374"/>
      <c r="V4" s="374"/>
      <c r="W4" s="374"/>
      <c r="X4" s="374"/>
      <c r="Y4" s="374"/>
      <c r="Z4" s="374"/>
      <c r="AA4" s="374"/>
      <c r="AB4" s="374"/>
      <c r="AC4" s="374"/>
    </row>
    <row r="5" spans="1:29" ht="18.75" x14ac:dyDescent="0.3">
      <c r="AC5" s="12"/>
    </row>
    <row r="6" spans="1:29" ht="18.75" x14ac:dyDescent="0.25">
      <c r="A6" s="306" t="s">
        <v>7</v>
      </c>
      <c r="B6" s="306"/>
      <c r="C6" s="306"/>
      <c r="D6" s="306"/>
      <c r="E6" s="306"/>
      <c r="F6" s="306"/>
      <c r="G6" s="306"/>
      <c r="H6" s="306"/>
      <c r="I6" s="306"/>
      <c r="J6" s="306"/>
      <c r="K6" s="306"/>
      <c r="L6" s="306"/>
      <c r="M6" s="306"/>
      <c r="N6" s="306"/>
      <c r="O6" s="306"/>
      <c r="P6" s="306"/>
      <c r="Q6" s="306"/>
      <c r="R6" s="306"/>
      <c r="S6" s="306"/>
      <c r="T6" s="306"/>
      <c r="U6" s="306"/>
      <c r="V6" s="306"/>
      <c r="W6" s="306"/>
      <c r="X6" s="306"/>
      <c r="Y6" s="306"/>
      <c r="Z6" s="306"/>
      <c r="AA6" s="306"/>
      <c r="AB6" s="306"/>
      <c r="AC6" s="306"/>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375" t="str">
        <f>'1. паспорт местоположение'!A9:C9</f>
        <v xml:space="preserve">Акционерное общество "Западная энергетическая компания" </v>
      </c>
      <c r="B8" s="375"/>
      <c r="C8" s="375"/>
      <c r="D8" s="375"/>
      <c r="E8" s="375"/>
      <c r="F8" s="375"/>
      <c r="G8" s="375"/>
      <c r="H8" s="375"/>
      <c r="I8" s="375"/>
      <c r="J8" s="375"/>
      <c r="K8" s="375"/>
      <c r="L8" s="375"/>
      <c r="M8" s="375"/>
      <c r="N8" s="375"/>
      <c r="O8" s="375"/>
      <c r="P8" s="375"/>
      <c r="Q8" s="375"/>
      <c r="R8" s="375"/>
      <c r="S8" s="375"/>
      <c r="T8" s="375"/>
      <c r="U8" s="375"/>
      <c r="V8" s="375"/>
      <c r="W8" s="375"/>
      <c r="X8" s="375"/>
      <c r="Y8" s="375"/>
      <c r="Z8" s="375"/>
      <c r="AA8" s="375"/>
      <c r="AB8" s="375"/>
      <c r="AC8" s="375"/>
    </row>
    <row r="9" spans="1:29" ht="18.75" customHeight="1" x14ac:dyDescent="0.25">
      <c r="A9" s="303" t="s">
        <v>6</v>
      </c>
      <c r="B9" s="303"/>
      <c r="C9" s="303"/>
      <c r="D9" s="303"/>
      <c r="E9" s="303"/>
      <c r="F9" s="303"/>
      <c r="G9" s="303"/>
      <c r="H9" s="303"/>
      <c r="I9" s="303"/>
      <c r="J9" s="303"/>
      <c r="K9" s="303"/>
      <c r="L9" s="303"/>
      <c r="M9" s="303"/>
      <c r="N9" s="303"/>
      <c r="O9" s="303"/>
      <c r="P9" s="303"/>
      <c r="Q9" s="303"/>
      <c r="R9" s="303"/>
      <c r="S9" s="303"/>
      <c r="T9" s="303"/>
      <c r="U9" s="303"/>
      <c r="V9" s="303"/>
      <c r="W9" s="303"/>
      <c r="X9" s="303"/>
      <c r="Y9" s="303"/>
      <c r="Z9" s="303"/>
      <c r="AA9" s="303"/>
      <c r="AB9" s="303"/>
      <c r="AC9" s="303"/>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375" t="str">
        <f>'1. паспорт местоположение'!A12:C12</f>
        <v>J 19-09</v>
      </c>
      <c r="B11" s="375"/>
      <c r="C11" s="375"/>
      <c r="D11" s="375"/>
      <c r="E11" s="375"/>
      <c r="F11" s="375"/>
      <c r="G11" s="375"/>
      <c r="H11" s="375"/>
      <c r="I11" s="375"/>
      <c r="J11" s="375"/>
      <c r="K11" s="375"/>
      <c r="L11" s="375"/>
      <c r="M11" s="375"/>
      <c r="N11" s="375"/>
      <c r="O11" s="375"/>
      <c r="P11" s="375"/>
      <c r="Q11" s="375"/>
      <c r="R11" s="375"/>
      <c r="S11" s="375"/>
      <c r="T11" s="375"/>
      <c r="U11" s="375"/>
      <c r="V11" s="375"/>
      <c r="W11" s="375"/>
      <c r="X11" s="375"/>
      <c r="Y11" s="375"/>
      <c r="Z11" s="375"/>
      <c r="AA11" s="375"/>
      <c r="AB11" s="375"/>
      <c r="AC11" s="375"/>
    </row>
    <row r="12" spans="1:29" x14ac:dyDescent="0.25">
      <c r="A12" s="303" t="s">
        <v>5</v>
      </c>
      <c r="B12" s="303"/>
      <c r="C12" s="303"/>
      <c r="D12" s="303"/>
      <c r="E12" s="303"/>
      <c r="F12" s="303"/>
      <c r="G12" s="303"/>
      <c r="H12" s="303"/>
      <c r="I12" s="303"/>
      <c r="J12" s="303"/>
      <c r="K12" s="303"/>
      <c r="L12" s="303"/>
      <c r="M12" s="303"/>
      <c r="N12" s="303"/>
      <c r="O12" s="303"/>
      <c r="P12" s="303"/>
      <c r="Q12" s="303"/>
      <c r="R12" s="303"/>
      <c r="S12" s="303"/>
      <c r="T12" s="303"/>
      <c r="U12" s="303"/>
      <c r="V12" s="303"/>
      <c r="W12" s="303"/>
      <c r="X12" s="303"/>
      <c r="Y12" s="303"/>
      <c r="Z12" s="303"/>
      <c r="AA12" s="303"/>
      <c r="AB12" s="303"/>
      <c r="AC12" s="303"/>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376" t="str">
        <f>'1. паспорт местоположение'!A15:C15</f>
        <v>Реконструкция ТП 15/6/0,4кВ  ТП-5 с заменой ячеек КРУ 15кВ с  маслянными выключателями SCI-20 ячейки  на КРУ-15кВ с вакуумными выключателями 9 шт., заменой ячеек КРУ 6 кВ с воздушными выключателями нагрузки на КРУ  с элегазовыми выключателями нагрузки;  с установкой 2-го трансформатора 15 кВ мощностью 0,8 МВА,с приростом мощности на 0,8 МВА; заменой трансформатора 6 кВ мощностью 0,18 МВА  на 0,25 МВА, с приростом мощности 0,07 МВА, в п.Северный, Багратионовского р-на</v>
      </c>
      <c r="B14" s="376"/>
      <c r="C14" s="376"/>
      <c r="D14" s="376"/>
      <c r="E14" s="376"/>
      <c r="F14" s="376"/>
      <c r="G14" s="376"/>
      <c r="H14" s="376"/>
      <c r="I14" s="376"/>
      <c r="J14" s="376"/>
      <c r="K14" s="376"/>
      <c r="L14" s="376"/>
      <c r="M14" s="376"/>
      <c r="N14" s="376"/>
      <c r="O14" s="376"/>
      <c r="P14" s="376"/>
      <c r="Q14" s="376"/>
      <c r="R14" s="376"/>
      <c r="S14" s="376"/>
      <c r="T14" s="376"/>
      <c r="U14" s="376"/>
      <c r="V14" s="376"/>
      <c r="W14" s="376"/>
      <c r="X14" s="376"/>
      <c r="Y14" s="376"/>
      <c r="Z14" s="376"/>
      <c r="AA14" s="376"/>
      <c r="AB14" s="376"/>
      <c r="AC14" s="376"/>
    </row>
    <row r="15" spans="1:29" ht="15.75" customHeight="1" x14ac:dyDescent="0.25">
      <c r="A15" s="303" t="s">
        <v>4</v>
      </c>
      <c r="B15" s="303"/>
      <c r="C15" s="303"/>
      <c r="D15" s="303"/>
      <c r="E15" s="303"/>
      <c r="F15" s="303"/>
      <c r="G15" s="303"/>
      <c r="H15" s="303"/>
      <c r="I15" s="303"/>
      <c r="J15" s="303"/>
      <c r="K15" s="303"/>
      <c r="L15" s="303"/>
      <c r="M15" s="303"/>
      <c r="N15" s="303"/>
      <c r="O15" s="303"/>
      <c r="P15" s="303"/>
      <c r="Q15" s="303"/>
      <c r="R15" s="303"/>
      <c r="S15" s="303"/>
      <c r="T15" s="303"/>
      <c r="U15" s="303"/>
      <c r="V15" s="303"/>
      <c r="W15" s="303"/>
      <c r="X15" s="303"/>
      <c r="Y15" s="303"/>
      <c r="Z15" s="303"/>
      <c r="AA15" s="303"/>
      <c r="AB15" s="303"/>
      <c r="AC15" s="303"/>
    </row>
    <row r="16" spans="1:29" x14ac:dyDescent="0.25">
      <c r="A16" s="377"/>
      <c r="B16" s="377"/>
      <c r="C16" s="377"/>
      <c r="D16" s="377"/>
      <c r="E16" s="377"/>
      <c r="F16" s="377"/>
      <c r="G16" s="377"/>
      <c r="H16" s="377"/>
      <c r="I16" s="377"/>
      <c r="J16" s="377"/>
      <c r="K16" s="377"/>
      <c r="L16" s="377"/>
      <c r="M16" s="377"/>
      <c r="N16" s="377"/>
      <c r="O16" s="377"/>
      <c r="P16" s="377"/>
      <c r="Q16" s="377"/>
      <c r="R16" s="377"/>
      <c r="S16" s="377"/>
      <c r="T16" s="377"/>
      <c r="U16" s="377"/>
      <c r="V16" s="377"/>
      <c r="W16" s="377"/>
      <c r="X16" s="377"/>
      <c r="Y16" s="377"/>
      <c r="Z16" s="377"/>
      <c r="AA16" s="377"/>
      <c r="AB16" s="377"/>
      <c r="AC16" s="377"/>
    </row>
    <row r="18" spans="1:32" x14ac:dyDescent="0.25">
      <c r="A18" s="379" t="s">
        <v>394</v>
      </c>
      <c r="B18" s="379"/>
      <c r="C18" s="379"/>
      <c r="D18" s="379"/>
      <c r="E18" s="379"/>
      <c r="F18" s="379"/>
      <c r="G18" s="379"/>
      <c r="H18" s="379"/>
      <c r="I18" s="379"/>
      <c r="J18" s="379"/>
      <c r="K18" s="379"/>
      <c r="L18" s="379"/>
      <c r="M18" s="379"/>
      <c r="N18" s="379"/>
      <c r="O18" s="379"/>
      <c r="P18" s="379"/>
      <c r="Q18" s="379"/>
      <c r="R18" s="379"/>
      <c r="S18" s="379"/>
      <c r="T18" s="379"/>
      <c r="U18" s="379"/>
      <c r="V18" s="379"/>
      <c r="W18" s="379"/>
      <c r="X18" s="379"/>
      <c r="Y18" s="379"/>
      <c r="Z18" s="379"/>
      <c r="AA18" s="379"/>
      <c r="AB18" s="379"/>
      <c r="AC18" s="379"/>
    </row>
    <row r="20" spans="1:32" ht="33" customHeight="1" x14ac:dyDescent="0.25">
      <c r="A20" s="368" t="s">
        <v>183</v>
      </c>
      <c r="B20" s="368" t="s">
        <v>182</v>
      </c>
      <c r="C20" s="364" t="s">
        <v>181</v>
      </c>
      <c r="D20" s="364"/>
      <c r="E20" s="378" t="s">
        <v>180</v>
      </c>
      <c r="F20" s="378"/>
      <c r="G20" s="368" t="s">
        <v>424</v>
      </c>
      <c r="H20" s="371" t="s">
        <v>425</v>
      </c>
      <c r="I20" s="372"/>
      <c r="J20" s="372"/>
      <c r="K20" s="372"/>
      <c r="L20" s="371" t="s">
        <v>426</v>
      </c>
      <c r="M20" s="372"/>
      <c r="N20" s="372"/>
      <c r="O20" s="372"/>
      <c r="P20" s="371" t="s">
        <v>427</v>
      </c>
      <c r="Q20" s="372"/>
      <c r="R20" s="372"/>
      <c r="S20" s="372"/>
      <c r="T20" s="371" t="s">
        <v>440</v>
      </c>
      <c r="U20" s="372"/>
      <c r="V20" s="372"/>
      <c r="W20" s="372"/>
      <c r="X20" s="371" t="s">
        <v>441</v>
      </c>
      <c r="Y20" s="372"/>
      <c r="Z20" s="372"/>
      <c r="AA20" s="372"/>
      <c r="AB20" s="380" t="s">
        <v>179</v>
      </c>
      <c r="AC20" s="380"/>
      <c r="AD20" s="49"/>
      <c r="AE20" s="49"/>
      <c r="AF20" s="49"/>
    </row>
    <row r="21" spans="1:32" ht="99.75" customHeight="1" x14ac:dyDescent="0.25">
      <c r="A21" s="369"/>
      <c r="B21" s="369"/>
      <c r="C21" s="364"/>
      <c r="D21" s="364"/>
      <c r="E21" s="378"/>
      <c r="F21" s="378"/>
      <c r="G21" s="369"/>
      <c r="H21" s="364" t="s">
        <v>2</v>
      </c>
      <c r="I21" s="364"/>
      <c r="J21" s="364" t="s">
        <v>9</v>
      </c>
      <c r="K21" s="364"/>
      <c r="L21" s="364" t="s">
        <v>2</v>
      </c>
      <c r="M21" s="364"/>
      <c r="N21" s="364" t="s">
        <v>9</v>
      </c>
      <c r="O21" s="364"/>
      <c r="P21" s="364" t="s">
        <v>2</v>
      </c>
      <c r="Q21" s="364"/>
      <c r="R21" s="364" t="s">
        <v>178</v>
      </c>
      <c r="S21" s="364"/>
      <c r="T21" s="364" t="s">
        <v>2</v>
      </c>
      <c r="U21" s="364"/>
      <c r="V21" s="364" t="s">
        <v>178</v>
      </c>
      <c r="W21" s="364"/>
      <c r="X21" s="364" t="s">
        <v>2</v>
      </c>
      <c r="Y21" s="364"/>
      <c r="Z21" s="364" t="s">
        <v>178</v>
      </c>
      <c r="AA21" s="364"/>
      <c r="AB21" s="380"/>
      <c r="AC21" s="380"/>
    </row>
    <row r="22" spans="1:32" ht="89.25" customHeight="1" x14ac:dyDescent="0.25">
      <c r="A22" s="370"/>
      <c r="B22" s="370"/>
      <c r="C22" s="46" t="s">
        <v>2</v>
      </c>
      <c r="D22" s="46" t="s">
        <v>178</v>
      </c>
      <c r="E22" s="48" t="s">
        <v>439</v>
      </c>
      <c r="F22" s="48" t="s">
        <v>484</v>
      </c>
      <c r="G22" s="370"/>
      <c r="H22" s="47" t="s">
        <v>375</v>
      </c>
      <c r="I22" s="47" t="s">
        <v>376</v>
      </c>
      <c r="J22" s="47" t="s">
        <v>375</v>
      </c>
      <c r="K22" s="47" t="s">
        <v>376</v>
      </c>
      <c r="L22" s="47" t="s">
        <v>375</v>
      </c>
      <c r="M22" s="47" t="s">
        <v>376</v>
      </c>
      <c r="N22" s="47" t="s">
        <v>375</v>
      </c>
      <c r="O22" s="47" t="s">
        <v>376</v>
      </c>
      <c r="P22" s="47" t="s">
        <v>375</v>
      </c>
      <c r="Q22" s="47" t="s">
        <v>376</v>
      </c>
      <c r="R22" s="47" t="s">
        <v>375</v>
      </c>
      <c r="S22" s="47" t="s">
        <v>376</v>
      </c>
      <c r="T22" s="47" t="s">
        <v>375</v>
      </c>
      <c r="U22" s="47" t="s">
        <v>376</v>
      </c>
      <c r="V22" s="47" t="s">
        <v>375</v>
      </c>
      <c r="W22" s="47" t="s">
        <v>376</v>
      </c>
      <c r="X22" s="47" t="s">
        <v>375</v>
      </c>
      <c r="Y22" s="47" t="s">
        <v>376</v>
      </c>
      <c r="Z22" s="47" t="s">
        <v>375</v>
      </c>
      <c r="AA22" s="47" t="s">
        <v>376</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 t="shared" ref="AC23" si="0">AB23+1</f>
        <v>21</v>
      </c>
    </row>
    <row r="24" spans="1:32" ht="47.25" customHeight="1" x14ac:dyDescent="0.25">
      <c r="A24" s="44">
        <v>1</v>
      </c>
      <c r="B24" s="43" t="s">
        <v>177</v>
      </c>
      <c r="C24" s="97">
        <f>SUM(C25:C29)</f>
        <v>294.53059319620257</v>
      </c>
      <c r="D24" s="97">
        <v>0</v>
      </c>
      <c r="E24" s="97">
        <f>SUM(E25:E29)</f>
        <v>294.53059319620257</v>
      </c>
      <c r="F24" s="97">
        <f>SUM(F25:F29)</f>
        <v>293.97652119620255</v>
      </c>
      <c r="G24" s="97">
        <f t="shared" ref="G24" si="1">SUM(G25:G29)</f>
        <v>0</v>
      </c>
      <c r="H24" s="97">
        <f t="shared" ref="H24:M24" si="2">SUM(H25:H29)</f>
        <v>0.55407200000000001</v>
      </c>
      <c r="I24" s="97">
        <f t="shared" si="2"/>
        <v>0</v>
      </c>
      <c r="J24" s="97">
        <f t="shared" si="2"/>
        <v>0.55407200000000001</v>
      </c>
      <c r="K24" s="97">
        <f t="shared" si="2"/>
        <v>0</v>
      </c>
      <c r="L24" s="97">
        <f t="shared" si="2"/>
        <v>160.58748429999991</v>
      </c>
      <c r="M24" s="97">
        <f t="shared" si="2"/>
        <v>128.46998823999991</v>
      </c>
      <c r="N24" s="97">
        <f t="shared" ref="N24" si="3">SUM(N25:N29)</f>
        <v>134.10904273</v>
      </c>
      <c r="O24" s="97">
        <f t="shared" ref="O24:AA24" si="4">SUM(O25:O29)</f>
        <v>101.99154667000002</v>
      </c>
      <c r="P24" s="97">
        <f t="shared" si="4"/>
        <v>133.38903689620324</v>
      </c>
      <c r="Q24" s="97">
        <f t="shared" si="4"/>
        <v>0</v>
      </c>
      <c r="R24" s="97">
        <f t="shared" si="4"/>
        <v>0</v>
      </c>
      <c r="S24" s="97">
        <f t="shared" si="4"/>
        <v>0</v>
      </c>
      <c r="T24" s="97">
        <f t="shared" si="4"/>
        <v>0</v>
      </c>
      <c r="U24" s="97">
        <f t="shared" si="4"/>
        <v>0</v>
      </c>
      <c r="V24" s="97">
        <f t="shared" si="4"/>
        <v>0</v>
      </c>
      <c r="W24" s="97">
        <f t="shared" si="4"/>
        <v>0</v>
      </c>
      <c r="X24" s="97">
        <f t="shared" si="4"/>
        <v>0</v>
      </c>
      <c r="Y24" s="97">
        <f t="shared" si="4"/>
        <v>0</v>
      </c>
      <c r="Z24" s="97">
        <f t="shared" si="4"/>
        <v>0</v>
      </c>
      <c r="AA24" s="97">
        <f t="shared" si="4"/>
        <v>0</v>
      </c>
      <c r="AB24" s="101">
        <f t="shared" ref="AB24:AB64" si="5">SUM(H24,L24,P24,T24,X24)</f>
        <v>294.53059319620314</v>
      </c>
      <c r="AC24" s="101">
        <f>J24+N24+R24+V24+Z24</f>
        <v>134.66311472999999</v>
      </c>
    </row>
    <row r="25" spans="1:32" ht="24" customHeight="1" x14ac:dyDescent="0.25">
      <c r="A25" s="41" t="s">
        <v>176</v>
      </c>
      <c r="B25" s="25" t="s">
        <v>175</v>
      </c>
      <c r="C25" s="97">
        <v>0</v>
      </c>
      <c r="D25" s="97">
        <v>0</v>
      </c>
      <c r="E25" s="97">
        <f>C25</f>
        <v>0</v>
      </c>
      <c r="F25" s="97">
        <f>E25-G25-H25</f>
        <v>0</v>
      </c>
      <c r="G25" s="99">
        <v>0</v>
      </c>
      <c r="H25" s="99">
        <v>0</v>
      </c>
      <c r="I25" s="99">
        <v>0</v>
      </c>
      <c r="J25" s="99">
        <v>0</v>
      </c>
      <c r="K25" s="99">
        <v>0</v>
      </c>
      <c r="L25" s="99">
        <f>F25</f>
        <v>0</v>
      </c>
      <c r="M25" s="99">
        <v>0</v>
      </c>
      <c r="N25" s="99">
        <f t="shared" ref="N25:N27" si="6">F25</f>
        <v>0</v>
      </c>
      <c r="O25" s="99">
        <v>0</v>
      </c>
      <c r="P25" s="99">
        <v>0</v>
      </c>
      <c r="Q25" s="99">
        <v>0</v>
      </c>
      <c r="R25" s="99">
        <v>0</v>
      </c>
      <c r="S25" s="99">
        <v>0</v>
      </c>
      <c r="T25" s="99">
        <v>0</v>
      </c>
      <c r="U25" s="99">
        <v>0</v>
      </c>
      <c r="V25" s="99">
        <v>0</v>
      </c>
      <c r="W25" s="99">
        <v>0</v>
      </c>
      <c r="X25" s="99">
        <v>0</v>
      </c>
      <c r="Y25" s="99">
        <v>0</v>
      </c>
      <c r="Z25" s="99">
        <v>0</v>
      </c>
      <c r="AA25" s="99">
        <v>0</v>
      </c>
      <c r="AB25" s="101">
        <f t="shared" si="5"/>
        <v>0</v>
      </c>
      <c r="AC25" s="101">
        <f t="shared" ref="AC25:AC64" si="7">J25+N25+R25+V25+Z25</f>
        <v>0</v>
      </c>
    </row>
    <row r="26" spans="1:32" x14ac:dyDescent="0.25">
      <c r="A26" s="41" t="s">
        <v>174</v>
      </c>
      <c r="B26" s="25" t="s">
        <v>173</v>
      </c>
      <c r="C26" s="97">
        <v>0</v>
      </c>
      <c r="D26" s="97">
        <v>0</v>
      </c>
      <c r="E26" s="97">
        <f>C26</f>
        <v>0</v>
      </c>
      <c r="F26" s="97">
        <f>E26-G26-H26</f>
        <v>0</v>
      </c>
      <c r="G26" s="99">
        <v>0</v>
      </c>
      <c r="H26" s="99">
        <v>0</v>
      </c>
      <c r="I26" s="99">
        <v>0</v>
      </c>
      <c r="J26" s="99">
        <v>0</v>
      </c>
      <c r="K26" s="99">
        <v>0</v>
      </c>
      <c r="L26" s="99">
        <f>F26</f>
        <v>0</v>
      </c>
      <c r="M26" s="99">
        <v>0</v>
      </c>
      <c r="N26" s="99">
        <f t="shared" si="6"/>
        <v>0</v>
      </c>
      <c r="O26" s="99">
        <v>0</v>
      </c>
      <c r="P26" s="99">
        <v>0</v>
      </c>
      <c r="Q26" s="99">
        <v>0</v>
      </c>
      <c r="R26" s="99">
        <v>0</v>
      </c>
      <c r="S26" s="99">
        <v>0</v>
      </c>
      <c r="T26" s="99">
        <v>0</v>
      </c>
      <c r="U26" s="99">
        <v>0</v>
      </c>
      <c r="V26" s="99">
        <v>0</v>
      </c>
      <c r="W26" s="99">
        <v>0</v>
      </c>
      <c r="X26" s="99">
        <v>0</v>
      </c>
      <c r="Y26" s="99">
        <v>0</v>
      </c>
      <c r="Z26" s="99">
        <v>0</v>
      </c>
      <c r="AA26" s="99">
        <v>0</v>
      </c>
      <c r="AB26" s="101">
        <f t="shared" si="5"/>
        <v>0</v>
      </c>
      <c r="AC26" s="101">
        <f t="shared" si="7"/>
        <v>0</v>
      </c>
    </row>
    <row r="27" spans="1:32" ht="31.5" x14ac:dyDescent="0.25">
      <c r="A27" s="41" t="s">
        <v>172</v>
      </c>
      <c r="B27" s="25" t="s">
        <v>357</v>
      </c>
      <c r="C27" s="97">
        <v>0</v>
      </c>
      <c r="D27" s="97">
        <v>0</v>
      </c>
      <c r="E27" s="97">
        <f>C27</f>
        <v>0</v>
      </c>
      <c r="F27" s="97">
        <f>E27-G27-H27</f>
        <v>0</v>
      </c>
      <c r="G27" s="99">
        <v>0</v>
      </c>
      <c r="H27" s="99">
        <v>0</v>
      </c>
      <c r="I27" s="99">
        <v>0</v>
      </c>
      <c r="J27" s="99">
        <v>0</v>
      </c>
      <c r="K27" s="99">
        <v>0</v>
      </c>
      <c r="L27" s="99">
        <f>F27</f>
        <v>0</v>
      </c>
      <c r="M27" s="99">
        <v>0</v>
      </c>
      <c r="N27" s="99">
        <f t="shared" si="6"/>
        <v>0</v>
      </c>
      <c r="O27" s="99">
        <v>0</v>
      </c>
      <c r="P27" s="99">
        <v>0</v>
      </c>
      <c r="Q27" s="99">
        <v>0</v>
      </c>
      <c r="R27" s="99">
        <v>0</v>
      </c>
      <c r="S27" s="99">
        <v>0</v>
      </c>
      <c r="T27" s="99">
        <v>0</v>
      </c>
      <c r="U27" s="99">
        <v>0</v>
      </c>
      <c r="V27" s="99">
        <v>0</v>
      </c>
      <c r="W27" s="99">
        <v>0</v>
      </c>
      <c r="X27" s="99">
        <v>0</v>
      </c>
      <c r="Y27" s="99">
        <v>0</v>
      </c>
      <c r="Z27" s="99">
        <v>0</v>
      </c>
      <c r="AA27" s="99">
        <v>0</v>
      </c>
      <c r="AB27" s="101">
        <f t="shared" si="5"/>
        <v>0</v>
      </c>
      <c r="AC27" s="101">
        <f t="shared" si="7"/>
        <v>0</v>
      </c>
      <c r="AF27" s="98"/>
    </row>
    <row r="28" spans="1:32" x14ac:dyDescent="0.25">
      <c r="A28" s="41" t="s">
        <v>171</v>
      </c>
      <c r="B28" s="25" t="s">
        <v>170</v>
      </c>
      <c r="C28" s="97">
        <f>C30*1.18</f>
        <v>294.53059319620257</v>
      </c>
      <c r="D28" s="97">
        <v>0</v>
      </c>
      <c r="E28" s="97">
        <f>C28</f>
        <v>294.53059319620257</v>
      </c>
      <c r="F28" s="97">
        <f>E28-G28-H28</f>
        <v>293.97652119620255</v>
      </c>
      <c r="G28" s="99">
        <v>0</v>
      </c>
      <c r="H28" s="99">
        <v>0.55407200000000001</v>
      </c>
      <c r="I28" s="99">
        <v>0</v>
      </c>
      <c r="J28" s="99">
        <v>0.55407200000000001</v>
      </c>
      <c r="K28" s="99">
        <v>0</v>
      </c>
      <c r="L28" s="99">
        <v>160.58748429999991</v>
      </c>
      <c r="M28" s="99">
        <v>128.46998823999991</v>
      </c>
      <c r="N28" s="99">
        <v>134.10904273</v>
      </c>
      <c r="O28" s="99">
        <v>101.99154667000002</v>
      </c>
      <c r="P28" s="99">
        <v>133.38903689620324</v>
      </c>
      <c r="Q28" s="99">
        <v>0</v>
      </c>
      <c r="R28" s="99">
        <v>0</v>
      </c>
      <c r="S28" s="99">
        <v>0</v>
      </c>
      <c r="T28" s="99">
        <v>0</v>
      </c>
      <c r="U28" s="99">
        <v>0</v>
      </c>
      <c r="V28" s="99">
        <v>0</v>
      </c>
      <c r="W28" s="99">
        <v>0</v>
      </c>
      <c r="X28" s="99">
        <v>0</v>
      </c>
      <c r="Y28" s="99">
        <v>0</v>
      </c>
      <c r="Z28" s="99">
        <v>0</v>
      </c>
      <c r="AA28" s="99">
        <v>0</v>
      </c>
      <c r="AB28" s="101">
        <f t="shared" si="5"/>
        <v>294.53059319620314</v>
      </c>
      <c r="AC28" s="101">
        <f t="shared" si="7"/>
        <v>134.66311472999999</v>
      </c>
    </row>
    <row r="29" spans="1:32" x14ac:dyDescent="0.25">
      <c r="A29" s="41" t="s">
        <v>169</v>
      </c>
      <c r="B29" s="45" t="s">
        <v>168</v>
      </c>
      <c r="C29" s="97">
        <v>0</v>
      </c>
      <c r="D29" s="97">
        <v>0</v>
      </c>
      <c r="E29" s="97">
        <f>C29</f>
        <v>0</v>
      </c>
      <c r="F29" s="97">
        <f>E29-G29-H29</f>
        <v>0</v>
      </c>
      <c r="G29" s="99">
        <v>0</v>
      </c>
      <c r="H29" s="99">
        <v>0</v>
      </c>
      <c r="I29" s="99">
        <v>0</v>
      </c>
      <c r="J29" s="99">
        <v>0</v>
      </c>
      <c r="K29" s="99">
        <v>0</v>
      </c>
      <c r="L29" s="99">
        <f>F29</f>
        <v>0</v>
      </c>
      <c r="M29" s="99">
        <v>0</v>
      </c>
      <c r="N29" s="99">
        <v>0</v>
      </c>
      <c r="O29" s="99">
        <v>0</v>
      </c>
      <c r="P29" s="99">
        <v>0</v>
      </c>
      <c r="Q29" s="99">
        <v>0</v>
      </c>
      <c r="R29" s="99">
        <v>0</v>
      </c>
      <c r="S29" s="99">
        <v>0</v>
      </c>
      <c r="T29" s="99">
        <v>0</v>
      </c>
      <c r="U29" s="99">
        <v>0</v>
      </c>
      <c r="V29" s="99">
        <v>0</v>
      </c>
      <c r="W29" s="99">
        <v>0</v>
      </c>
      <c r="X29" s="99">
        <v>0</v>
      </c>
      <c r="Y29" s="99">
        <v>0</v>
      </c>
      <c r="Z29" s="99">
        <v>0</v>
      </c>
      <c r="AA29" s="99">
        <v>0</v>
      </c>
      <c r="AB29" s="101">
        <f t="shared" si="5"/>
        <v>0</v>
      </c>
      <c r="AC29" s="101">
        <f t="shared" si="7"/>
        <v>0</v>
      </c>
      <c r="AF29" s="98"/>
    </row>
    <row r="30" spans="1:32" ht="47.25" x14ac:dyDescent="0.25">
      <c r="A30" s="44" t="s">
        <v>61</v>
      </c>
      <c r="B30" s="43" t="s">
        <v>167</v>
      </c>
      <c r="C30" s="97">
        <f>SUM(C31:C34)</f>
        <v>249.60219762390051</v>
      </c>
      <c r="D30" s="97">
        <v>0</v>
      </c>
      <c r="E30" s="97">
        <f>SUM(E31:E34)</f>
        <v>249.60219762390051</v>
      </c>
      <c r="F30" s="97">
        <f>SUM(F31:F34)</f>
        <v>249.13264508152764</v>
      </c>
      <c r="G30" s="97">
        <f t="shared" ref="G30" si="8">SUM(G31:G34)</f>
        <v>0</v>
      </c>
      <c r="H30" s="97">
        <f>SUM(H31:H34)</f>
        <v>0.46955254237288102</v>
      </c>
      <c r="I30" s="97">
        <f>SUM(I31:I34)</f>
        <v>0</v>
      </c>
      <c r="J30" s="97">
        <f>SUM(J31:J34)</f>
        <v>0.46955254237288102</v>
      </c>
      <c r="K30" s="97">
        <f>SUM(K31:K34)</f>
        <v>0</v>
      </c>
      <c r="L30" s="97">
        <f>145.62859444541</f>
        <v>145.62859444540999</v>
      </c>
      <c r="M30" s="97">
        <v>145.6285944454101</v>
      </c>
      <c r="N30" s="97">
        <v>94.271501650000005</v>
      </c>
      <c r="O30" s="97">
        <v>94.27150164999999</v>
      </c>
      <c r="P30" s="97">
        <v>103.504050636118</v>
      </c>
      <c r="Q30" s="97">
        <f t="shared" ref="Q30:AA30" si="9">SUM(Q31:Q34)</f>
        <v>0</v>
      </c>
      <c r="R30" s="97">
        <f t="shared" si="9"/>
        <v>0</v>
      </c>
      <c r="S30" s="97">
        <f t="shared" si="9"/>
        <v>0</v>
      </c>
      <c r="T30" s="97">
        <f t="shared" si="9"/>
        <v>0</v>
      </c>
      <c r="U30" s="97">
        <f t="shared" si="9"/>
        <v>0</v>
      </c>
      <c r="V30" s="97">
        <f t="shared" si="9"/>
        <v>0</v>
      </c>
      <c r="W30" s="97">
        <f t="shared" si="9"/>
        <v>0</v>
      </c>
      <c r="X30" s="97">
        <f t="shared" si="9"/>
        <v>0</v>
      </c>
      <c r="Y30" s="97">
        <f t="shared" si="9"/>
        <v>0</v>
      </c>
      <c r="Z30" s="97">
        <f t="shared" si="9"/>
        <v>0</v>
      </c>
      <c r="AA30" s="97">
        <f t="shared" si="9"/>
        <v>0</v>
      </c>
      <c r="AB30" s="101">
        <f t="shared" si="5"/>
        <v>249.60219762390085</v>
      </c>
      <c r="AC30" s="101">
        <f t="shared" si="7"/>
        <v>94.741054192372886</v>
      </c>
      <c r="AE30" s="98"/>
    </row>
    <row r="31" spans="1:32" x14ac:dyDescent="0.25">
      <c r="A31" s="44" t="s">
        <v>166</v>
      </c>
      <c r="B31" s="25" t="s">
        <v>165</v>
      </c>
      <c r="C31" s="97">
        <f>4.7144209*1.41456447846*0.7</f>
        <v>4.6681966391545968</v>
      </c>
      <c r="D31" s="97">
        <v>0</v>
      </c>
      <c r="E31" s="97">
        <f>C31</f>
        <v>4.6681966391545968</v>
      </c>
      <c r="F31" s="97">
        <f>E31-G31-H31</f>
        <v>4.6681966391545968</v>
      </c>
      <c r="G31" s="99">
        <v>0</v>
      </c>
      <c r="H31" s="99">
        <v>0</v>
      </c>
      <c r="I31" s="99">
        <v>0</v>
      </c>
      <c r="J31" s="99">
        <v>0</v>
      </c>
      <c r="K31" s="99">
        <v>0</v>
      </c>
      <c r="L31" s="99">
        <f>F31</f>
        <v>4.6681966391545968</v>
      </c>
      <c r="M31" s="99">
        <v>4.6681966391545968</v>
      </c>
      <c r="N31" s="99">
        <v>0</v>
      </c>
      <c r="O31" s="99">
        <v>0</v>
      </c>
      <c r="P31" s="99">
        <v>0</v>
      </c>
      <c r="Q31" s="99">
        <v>0</v>
      </c>
      <c r="R31" s="99">
        <v>0</v>
      </c>
      <c r="S31" s="99">
        <v>0</v>
      </c>
      <c r="T31" s="99">
        <v>0</v>
      </c>
      <c r="U31" s="99">
        <v>0</v>
      </c>
      <c r="V31" s="99">
        <v>0</v>
      </c>
      <c r="W31" s="99">
        <v>0</v>
      </c>
      <c r="X31" s="99">
        <v>0</v>
      </c>
      <c r="Y31" s="99">
        <v>0</v>
      </c>
      <c r="Z31" s="99">
        <v>0</v>
      </c>
      <c r="AA31" s="99">
        <v>0</v>
      </c>
      <c r="AB31" s="101">
        <f t="shared" si="5"/>
        <v>4.6681966391545968</v>
      </c>
      <c r="AC31" s="101">
        <f t="shared" si="7"/>
        <v>0</v>
      </c>
    </row>
    <row r="32" spans="1:32" ht="31.5" x14ac:dyDescent="0.25">
      <c r="A32" s="44" t="s">
        <v>164</v>
      </c>
      <c r="B32" s="25" t="s">
        <v>163</v>
      </c>
      <c r="C32" s="97">
        <f>22.591709*1.41456447846*0.7</f>
        <v>22.370200341373565</v>
      </c>
      <c r="D32" s="97">
        <v>0</v>
      </c>
      <c r="E32" s="97">
        <f>C32</f>
        <v>22.370200341373565</v>
      </c>
      <c r="F32" s="97">
        <f>E32-G32-H32</f>
        <v>22.370200341373565</v>
      </c>
      <c r="G32" s="99">
        <v>0</v>
      </c>
      <c r="H32" s="99">
        <v>0</v>
      </c>
      <c r="I32" s="99">
        <v>0</v>
      </c>
      <c r="J32" s="99">
        <v>0</v>
      </c>
      <c r="K32" s="99">
        <v>0</v>
      </c>
      <c r="L32" s="99">
        <f>F32-P32</f>
        <v>13.076330611391265</v>
      </c>
      <c r="M32" s="99">
        <v>13.076330611391265</v>
      </c>
      <c r="N32" s="99">
        <v>1.979398</v>
      </c>
      <c r="O32" s="99">
        <v>1.979398</v>
      </c>
      <c r="P32" s="99">
        <f>F32*(P30/F30)</f>
        <v>9.2938697299822994</v>
      </c>
      <c r="Q32" s="99">
        <v>0</v>
      </c>
      <c r="R32" s="99">
        <v>0</v>
      </c>
      <c r="S32" s="99">
        <v>0</v>
      </c>
      <c r="T32" s="99">
        <v>0</v>
      </c>
      <c r="U32" s="99">
        <v>0</v>
      </c>
      <c r="V32" s="99">
        <v>0</v>
      </c>
      <c r="W32" s="99">
        <v>0</v>
      </c>
      <c r="X32" s="99">
        <v>0</v>
      </c>
      <c r="Y32" s="99">
        <v>0</v>
      </c>
      <c r="Z32" s="99">
        <v>0</v>
      </c>
      <c r="AA32" s="99">
        <v>0</v>
      </c>
      <c r="AB32" s="101">
        <f t="shared" si="5"/>
        <v>22.370200341373565</v>
      </c>
      <c r="AC32" s="101">
        <f t="shared" si="7"/>
        <v>1.979398</v>
      </c>
    </row>
    <row r="33" spans="1:29" x14ac:dyDescent="0.25">
      <c r="A33" s="44" t="s">
        <v>162</v>
      </c>
      <c r="B33" s="25" t="s">
        <v>161</v>
      </c>
      <c r="C33" s="100">
        <f>210.6058062*1.41456447846*0.7</f>
        <v>208.54084468556556</v>
      </c>
      <c r="D33" s="100">
        <v>0</v>
      </c>
      <c r="E33" s="97">
        <f>C33</f>
        <v>208.54084468556556</v>
      </c>
      <c r="F33" s="97">
        <f>E33-G33-H33</f>
        <v>208.54084468556556</v>
      </c>
      <c r="G33" s="99">
        <v>0</v>
      </c>
      <c r="H33" s="99">
        <v>0</v>
      </c>
      <c r="I33" s="99">
        <v>0</v>
      </c>
      <c r="J33" s="99">
        <v>0</v>
      </c>
      <c r="K33" s="99">
        <v>0</v>
      </c>
      <c r="L33" s="99">
        <f>F33-P33</f>
        <v>121.90096599375441</v>
      </c>
      <c r="M33" s="99">
        <v>121.90096599375441</v>
      </c>
      <c r="N33" s="99">
        <v>91.699434690000004</v>
      </c>
      <c r="O33" s="99">
        <v>91.699434690000004</v>
      </c>
      <c r="P33" s="99">
        <f>F33*(P30/F30)</f>
        <v>86.639878691811148</v>
      </c>
      <c r="Q33" s="99">
        <v>0</v>
      </c>
      <c r="R33" s="99">
        <v>0</v>
      </c>
      <c r="S33" s="99">
        <v>0</v>
      </c>
      <c r="T33" s="99">
        <v>0</v>
      </c>
      <c r="U33" s="99">
        <v>0</v>
      </c>
      <c r="V33" s="99">
        <v>0</v>
      </c>
      <c r="W33" s="99">
        <v>0</v>
      </c>
      <c r="X33" s="99">
        <v>0</v>
      </c>
      <c r="Y33" s="99">
        <v>0</v>
      </c>
      <c r="Z33" s="99">
        <v>0</v>
      </c>
      <c r="AA33" s="99">
        <v>0</v>
      </c>
      <c r="AB33" s="101">
        <f t="shared" si="5"/>
        <v>208.54084468556556</v>
      </c>
      <c r="AC33" s="101">
        <f t="shared" si="7"/>
        <v>91.699434690000004</v>
      </c>
    </row>
    <row r="34" spans="1:29" x14ac:dyDescent="0.25">
      <c r="A34" s="44" t="s">
        <v>160</v>
      </c>
      <c r="B34" s="25" t="s">
        <v>159</v>
      </c>
      <c r="C34" s="97">
        <f>14.1618106*1.41456447846*0.7</f>
        <v>14.022955957806809</v>
      </c>
      <c r="D34" s="97">
        <v>0</v>
      </c>
      <c r="E34" s="97">
        <f>C34</f>
        <v>14.022955957806809</v>
      </c>
      <c r="F34" s="97">
        <f>E34-G34-H34</f>
        <v>13.553403415433928</v>
      </c>
      <c r="G34" s="99">
        <v>0</v>
      </c>
      <c r="H34" s="99">
        <v>0.46955254237288102</v>
      </c>
      <c r="I34" s="99">
        <v>0</v>
      </c>
      <c r="J34" s="99">
        <v>0.46955254237288102</v>
      </c>
      <c r="K34" s="99">
        <v>0</v>
      </c>
      <c r="L34" s="99">
        <f>L30-L31-L32-L33</f>
        <v>5.9831012011097187</v>
      </c>
      <c r="M34" s="99">
        <v>5.9831012011097187</v>
      </c>
      <c r="N34" s="99">
        <v>0.59266895999999991</v>
      </c>
      <c r="O34" s="99">
        <v>0.59266895999999991</v>
      </c>
      <c r="P34" s="99">
        <f>P30-P31-P32-P33</f>
        <v>7.570302214324542</v>
      </c>
      <c r="Q34" s="99">
        <v>0</v>
      </c>
      <c r="R34" s="99">
        <v>0</v>
      </c>
      <c r="S34" s="99">
        <v>0</v>
      </c>
      <c r="T34" s="99">
        <v>0</v>
      </c>
      <c r="U34" s="99">
        <v>0</v>
      </c>
      <c r="V34" s="99">
        <v>0</v>
      </c>
      <c r="W34" s="99">
        <v>0</v>
      </c>
      <c r="X34" s="99">
        <v>0</v>
      </c>
      <c r="Y34" s="99">
        <v>0</v>
      </c>
      <c r="Z34" s="99">
        <v>0</v>
      </c>
      <c r="AA34" s="99">
        <v>0</v>
      </c>
      <c r="AB34" s="101">
        <f t="shared" si="5"/>
        <v>14.022955957807142</v>
      </c>
      <c r="AC34" s="101">
        <f t="shared" si="7"/>
        <v>1.0622215023728809</v>
      </c>
    </row>
    <row r="35" spans="1:29" ht="31.5" x14ac:dyDescent="0.25">
      <c r="A35" s="44" t="s">
        <v>60</v>
      </c>
      <c r="B35" s="43" t="s">
        <v>158</v>
      </c>
      <c r="C35" s="97">
        <v>0</v>
      </c>
      <c r="D35" s="97">
        <v>0</v>
      </c>
      <c r="E35" s="97">
        <v>0</v>
      </c>
      <c r="F35" s="97">
        <v>0</v>
      </c>
      <c r="G35" s="97">
        <v>0</v>
      </c>
      <c r="H35" s="97">
        <v>0</v>
      </c>
      <c r="I35" s="97">
        <v>0</v>
      </c>
      <c r="J35" s="97">
        <v>0</v>
      </c>
      <c r="K35" s="97">
        <v>0</v>
      </c>
      <c r="L35" s="97">
        <v>0</v>
      </c>
      <c r="M35" s="97">
        <v>0</v>
      </c>
      <c r="N35" s="97">
        <v>0</v>
      </c>
      <c r="O35" s="97">
        <v>0</v>
      </c>
      <c r="P35" s="97">
        <v>0</v>
      </c>
      <c r="Q35" s="97">
        <v>0</v>
      </c>
      <c r="R35" s="97">
        <v>0</v>
      </c>
      <c r="S35" s="97">
        <v>0</v>
      </c>
      <c r="T35" s="97">
        <v>0</v>
      </c>
      <c r="U35" s="97">
        <v>0</v>
      </c>
      <c r="V35" s="97">
        <v>0</v>
      </c>
      <c r="W35" s="97">
        <v>0</v>
      </c>
      <c r="X35" s="97">
        <v>0</v>
      </c>
      <c r="Y35" s="97">
        <v>0</v>
      </c>
      <c r="Z35" s="97">
        <v>0</v>
      </c>
      <c r="AA35" s="97">
        <v>0</v>
      </c>
      <c r="AB35" s="101">
        <f t="shared" si="5"/>
        <v>0</v>
      </c>
      <c r="AC35" s="101">
        <f t="shared" si="7"/>
        <v>0</v>
      </c>
    </row>
    <row r="36" spans="1:29" ht="31.5" x14ac:dyDescent="0.25">
      <c r="A36" s="41" t="s">
        <v>157</v>
      </c>
      <c r="B36" s="40" t="s">
        <v>156</v>
      </c>
      <c r="C36" s="97">
        <v>0</v>
      </c>
      <c r="D36" s="97">
        <v>0</v>
      </c>
      <c r="E36" s="97">
        <v>0</v>
      </c>
      <c r="F36" s="97">
        <v>0</v>
      </c>
      <c r="G36" s="99">
        <v>0</v>
      </c>
      <c r="H36" s="99">
        <v>0</v>
      </c>
      <c r="I36" s="99">
        <v>0</v>
      </c>
      <c r="J36" s="99">
        <v>0</v>
      </c>
      <c r="K36" s="99">
        <v>0</v>
      </c>
      <c r="L36" s="99">
        <v>0</v>
      </c>
      <c r="M36" s="99">
        <v>0</v>
      </c>
      <c r="N36" s="99">
        <v>0</v>
      </c>
      <c r="O36" s="99">
        <v>0</v>
      </c>
      <c r="P36" s="99">
        <v>0</v>
      </c>
      <c r="Q36" s="99">
        <v>0</v>
      </c>
      <c r="R36" s="99">
        <v>0</v>
      </c>
      <c r="S36" s="99">
        <v>0</v>
      </c>
      <c r="T36" s="99">
        <v>0</v>
      </c>
      <c r="U36" s="99">
        <v>0</v>
      </c>
      <c r="V36" s="99">
        <v>0</v>
      </c>
      <c r="W36" s="99">
        <v>0</v>
      </c>
      <c r="X36" s="99">
        <v>0</v>
      </c>
      <c r="Y36" s="99">
        <v>0</v>
      </c>
      <c r="Z36" s="99">
        <v>0</v>
      </c>
      <c r="AA36" s="99">
        <v>0</v>
      </c>
      <c r="AB36" s="101">
        <f t="shared" si="5"/>
        <v>0</v>
      </c>
      <c r="AC36" s="101">
        <f t="shared" si="7"/>
        <v>0</v>
      </c>
    </row>
    <row r="37" spans="1:29" x14ac:dyDescent="0.25">
      <c r="A37" s="41" t="s">
        <v>155</v>
      </c>
      <c r="B37" s="40" t="s">
        <v>145</v>
      </c>
      <c r="C37" s="97">
        <v>80</v>
      </c>
      <c r="D37" s="97">
        <v>0</v>
      </c>
      <c r="E37" s="97">
        <f>C37</f>
        <v>80</v>
      </c>
      <c r="F37" s="97">
        <f>E37-G37-H37</f>
        <v>80</v>
      </c>
      <c r="G37" s="99">
        <v>0</v>
      </c>
      <c r="H37" s="99">
        <v>0</v>
      </c>
      <c r="I37" s="99">
        <v>0</v>
      </c>
      <c r="J37" s="99">
        <v>0</v>
      </c>
      <c r="K37" s="99">
        <v>0</v>
      </c>
      <c r="L37" s="99">
        <v>0</v>
      </c>
      <c r="M37" s="99">
        <v>0</v>
      </c>
      <c r="N37" s="99">
        <v>0</v>
      </c>
      <c r="O37" s="99">
        <v>0</v>
      </c>
      <c r="P37" s="99">
        <f t="shared" ref="P37:P42" si="10">F37</f>
        <v>80</v>
      </c>
      <c r="Q37" s="99">
        <v>0</v>
      </c>
      <c r="R37" s="99">
        <v>0</v>
      </c>
      <c r="S37" s="99">
        <v>0</v>
      </c>
      <c r="T37" s="99">
        <v>0</v>
      </c>
      <c r="U37" s="99">
        <v>0</v>
      </c>
      <c r="V37" s="99">
        <v>0</v>
      </c>
      <c r="W37" s="99">
        <v>0</v>
      </c>
      <c r="X37" s="99">
        <v>0</v>
      </c>
      <c r="Y37" s="99">
        <v>0</v>
      </c>
      <c r="Z37" s="99">
        <v>0</v>
      </c>
      <c r="AA37" s="99">
        <v>0</v>
      </c>
      <c r="AB37" s="101">
        <f t="shared" si="5"/>
        <v>80</v>
      </c>
      <c r="AC37" s="101">
        <f t="shared" si="7"/>
        <v>0</v>
      </c>
    </row>
    <row r="38" spans="1:29" x14ac:dyDescent="0.25">
      <c r="A38" s="41" t="s">
        <v>154</v>
      </c>
      <c r="B38" s="40" t="s">
        <v>143</v>
      </c>
      <c r="C38" s="97">
        <v>0</v>
      </c>
      <c r="D38" s="97">
        <v>0</v>
      </c>
      <c r="E38" s="97">
        <v>0</v>
      </c>
      <c r="F38" s="97">
        <v>0</v>
      </c>
      <c r="G38" s="99">
        <v>0</v>
      </c>
      <c r="H38" s="99">
        <v>0</v>
      </c>
      <c r="I38" s="99">
        <v>0</v>
      </c>
      <c r="J38" s="99">
        <v>0</v>
      </c>
      <c r="K38" s="99">
        <v>0</v>
      </c>
      <c r="L38" s="99">
        <v>0</v>
      </c>
      <c r="M38" s="99">
        <v>0</v>
      </c>
      <c r="N38" s="99">
        <v>0</v>
      </c>
      <c r="O38" s="99">
        <v>0</v>
      </c>
      <c r="P38" s="99">
        <f t="shared" si="10"/>
        <v>0</v>
      </c>
      <c r="Q38" s="99">
        <v>0</v>
      </c>
      <c r="R38" s="99">
        <v>0</v>
      </c>
      <c r="S38" s="99">
        <v>0</v>
      </c>
      <c r="T38" s="99">
        <v>0</v>
      </c>
      <c r="U38" s="99">
        <v>0</v>
      </c>
      <c r="V38" s="99">
        <v>0</v>
      </c>
      <c r="W38" s="99">
        <v>0</v>
      </c>
      <c r="X38" s="99">
        <v>0</v>
      </c>
      <c r="Y38" s="99">
        <v>0</v>
      </c>
      <c r="Z38" s="99">
        <v>0</v>
      </c>
      <c r="AA38" s="99">
        <v>0</v>
      </c>
      <c r="AB38" s="101">
        <f t="shared" si="5"/>
        <v>0</v>
      </c>
      <c r="AC38" s="101">
        <f t="shared" si="7"/>
        <v>0</v>
      </c>
    </row>
    <row r="39" spans="1:29" ht="31.5" x14ac:dyDescent="0.25">
      <c r="A39" s="41" t="s">
        <v>153</v>
      </c>
      <c r="B39" s="25" t="s">
        <v>141</v>
      </c>
      <c r="C39" s="97">
        <v>0</v>
      </c>
      <c r="D39" s="97">
        <v>0</v>
      </c>
      <c r="E39" s="97">
        <v>0</v>
      </c>
      <c r="F39" s="97">
        <v>0</v>
      </c>
      <c r="G39" s="99">
        <v>0</v>
      </c>
      <c r="H39" s="99">
        <v>0</v>
      </c>
      <c r="I39" s="99">
        <v>0</v>
      </c>
      <c r="J39" s="99">
        <v>0</v>
      </c>
      <c r="K39" s="99">
        <v>0</v>
      </c>
      <c r="L39" s="99">
        <v>0</v>
      </c>
      <c r="M39" s="99">
        <v>0</v>
      </c>
      <c r="N39" s="99">
        <v>0</v>
      </c>
      <c r="O39" s="99">
        <v>0</v>
      </c>
      <c r="P39" s="99">
        <f t="shared" si="10"/>
        <v>0</v>
      </c>
      <c r="Q39" s="99">
        <v>0</v>
      </c>
      <c r="R39" s="99">
        <v>0</v>
      </c>
      <c r="S39" s="99">
        <v>0</v>
      </c>
      <c r="T39" s="99">
        <v>0</v>
      </c>
      <c r="U39" s="99">
        <v>0</v>
      </c>
      <c r="V39" s="99">
        <v>0</v>
      </c>
      <c r="W39" s="99">
        <v>0</v>
      </c>
      <c r="X39" s="99">
        <v>0</v>
      </c>
      <c r="Y39" s="99">
        <v>0</v>
      </c>
      <c r="Z39" s="99">
        <v>0</v>
      </c>
      <c r="AA39" s="99">
        <v>0</v>
      </c>
      <c r="AB39" s="101">
        <f t="shared" si="5"/>
        <v>0</v>
      </c>
      <c r="AC39" s="101">
        <f t="shared" si="7"/>
        <v>0</v>
      </c>
    </row>
    <row r="40" spans="1:29" ht="31.5" x14ac:dyDescent="0.25">
      <c r="A40" s="41" t="s">
        <v>152</v>
      </c>
      <c r="B40" s="25" t="s">
        <v>139</v>
      </c>
      <c r="C40" s="97">
        <v>0</v>
      </c>
      <c r="D40" s="97">
        <v>0</v>
      </c>
      <c r="E40" s="97">
        <v>0</v>
      </c>
      <c r="F40" s="97">
        <v>0</v>
      </c>
      <c r="G40" s="99">
        <v>0</v>
      </c>
      <c r="H40" s="99">
        <v>0</v>
      </c>
      <c r="I40" s="99">
        <v>0</v>
      </c>
      <c r="J40" s="99">
        <v>0</v>
      </c>
      <c r="K40" s="99">
        <v>0</v>
      </c>
      <c r="L40" s="99">
        <v>0</v>
      </c>
      <c r="M40" s="99">
        <v>0</v>
      </c>
      <c r="N40" s="99">
        <v>0</v>
      </c>
      <c r="O40" s="99">
        <v>0</v>
      </c>
      <c r="P40" s="99">
        <f t="shared" si="10"/>
        <v>0</v>
      </c>
      <c r="Q40" s="99">
        <v>0</v>
      </c>
      <c r="R40" s="99">
        <v>0</v>
      </c>
      <c r="S40" s="99">
        <v>0</v>
      </c>
      <c r="T40" s="99">
        <v>0</v>
      </c>
      <c r="U40" s="99">
        <v>0</v>
      </c>
      <c r="V40" s="99">
        <v>0</v>
      </c>
      <c r="W40" s="99">
        <v>0</v>
      </c>
      <c r="X40" s="99">
        <v>0</v>
      </c>
      <c r="Y40" s="99">
        <v>0</v>
      </c>
      <c r="Z40" s="99">
        <v>0</v>
      </c>
      <c r="AA40" s="99">
        <v>0</v>
      </c>
      <c r="AB40" s="101">
        <f t="shared" si="5"/>
        <v>0</v>
      </c>
      <c r="AC40" s="101">
        <f t="shared" si="7"/>
        <v>0</v>
      </c>
    </row>
    <row r="41" spans="1:29" x14ac:dyDescent="0.25">
      <c r="A41" s="41" t="s">
        <v>151</v>
      </c>
      <c r="B41" s="25" t="s">
        <v>137</v>
      </c>
      <c r="C41" s="97">
        <v>0</v>
      </c>
      <c r="D41" s="97">
        <v>0</v>
      </c>
      <c r="E41" s="97">
        <v>0</v>
      </c>
      <c r="F41" s="97">
        <v>0</v>
      </c>
      <c r="G41" s="99">
        <v>0</v>
      </c>
      <c r="H41" s="99">
        <v>0</v>
      </c>
      <c r="I41" s="99">
        <v>0</v>
      </c>
      <c r="J41" s="99">
        <v>0</v>
      </c>
      <c r="K41" s="99">
        <v>0</v>
      </c>
      <c r="L41" s="99">
        <v>0</v>
      </c>
      <c r="M41" s="99">
        <v>0</v>
      </c>
      <c r="N41" s="99">
        <v>0</v>
      </c>
      <c r="O41" s="99">
        <v>0</v>
      </c>
      <c r="P41" s="99">
        <f t="shared" si="10"/>
        <v>0</v>
      </c>
      <c r="Q41" s="99">
        <v>0</v>
      </c>
      <c r="R41" s="99">
        <v>0</v>
      </c>
      <c r="S41" s="99">
        <v>0</v>
      </c>
      <c r="T41" s="99">
        <v>0</v>
      </c>
      <c r="U41" s="99">
        <v>0</v>
      </c>
      <c r="V41" s="99">
        <v>0</v>
      </c>
      <c r="W41" s="99">
        <v>0</v>
      </c>
      <c r="X41" s="99">
        <v>0</v>
      </c>
      <c r="Y41" s="99">
        <v>0</v>
      </c>
      <c r="Z41" s="99">
        <v>0</v>
      </c>
      <c r="AA41" s="99">
        <v>0</v>
      </c>
      <c r="AB41" s="101">
        <f t="shared" si="5"/>
        <v>0</v>
      </c>
      <c r="AC41" s="101">
        <f t="shared" si="7"/>
        <v>0</v>
      </c>
    </row>
    <row r="42" spans="1:29" ht="18.75" x14ac:dyDescent="0.25">
      <c r="A42" s="41" t="s">
        <v>150</v>
      </c>
      <c r="B42" s="40" t="s">
        <v>531</v>
      </c>
      <c r="C42" s="97">
        <v>34</v>
      </c>
      <c r="D42" s="97">
        <v>0</v>
      </c>
      <c r="E42" s="97">
        <v>34</v>
      </c>
      <c r="F42" s="97">
        <v>34</v>
      </c>
      <c r="G42" s="99">
        <v>0</v>
      </c>
      <c r="H42" s="99">
        <v>0</v>
      </c>
      <c r="I42" s="99">
        <v>0</v>
      </c>
      <c r="J42" s="99">
        <v>0</v>
      </c>
      <c r="K42" s="99">
        <v>0</v>
      </c>
      <c r="L42" s="99">
        <v>0</v>
      </c>
      <c r="M42" s="99">
        <v>0</v>
      </c>
      <c r="N42" s="99">
        <v>0</v>
      </c>
      <c r="O42" s="99">
        <v>0</v>
      </c>
      <c r="P42" s="99">
        <f t="shared" si="10"/>
        <v>34</v>
      </c>
      <c r="Q42" s="99">
        <v>0</v>
      </c>
      <c r="R42" s="99">
        <v>0</v>
      </c>
      <c r="S42" s="99">
        <v>0</v>
      </c>
      <c r="T42" s="99">
        <v>0</v>
      </c>
      <c r="U42" s="99">
        <v>0</v>
      </c>
      <c r="V42" s="99">
        <v>0</v>
      </c>
      <c r="W42" s="99">
        <v>0</v>
      </c>
      <c r="X42" s="99">
        <v>0</v>
      </c>
      <c r="Y42" s="99">
        <v>0</v>
      </c>
      <c r="Z42" s="99">
        <v>0</v>
      </c>
      <c r="AA42" s="99">
        <v>0</v>
      </c>
      <c r="AB42" s="101">
        <f t="shared" si="5"/>
        <v>34</v>
      </c>
      <c r="AC42" s="101">
        <f t="shared" si="7"/>
        <v>0</v>
      </c>
    </row>
    <row r="43" spans="1:29" x14ac:dyDescent="0.25">
      <c r="A43" s="44" t="s">
        <v>59</v>
      </c>
      <c r="B43" s="43" t="s">
        <v>149</v>
      </c>
      <c r="C43" s="97">
        <v>0</v>
      </c>
      <c r="D43" s="97">
        <v>0</v>
      </c>
      <c r="E43" s="97">
        <v>0</v>
      </c>
      <c r="F43" s="97">
        <v>0</v>
      </c>
      <c r="G43" s="97">
        <v>0</v>
      </c>
      <c r="H43" s="97">
        <v>0</v>
      </c>
      <c r="I43" s="97">
        <v>0</v>
      </c>
      <c r="J43" s="97">
        <v>0</v>
      </c>
      <c r="K43" s="97">
        <v>0</v>
      </c>
      <c r="L43" s="97">
        <v>0</v>
      </c>
      <c r="M43" s="97">
        <v>0</v>
      </c>
      <c r="N43" s="97">
        <v>0</v>
      </c>
      <c r="O43" s="97">
        <v>0</v>
      </c>
      <c r="P43" s="97">
        <v>0</v>
      </c>
      <c r="Q43" s="97">
        <v>0</v>
      </c>
      <c r="R43" s="97">
        <v>0</v>
      </c>
      <c r="S43" s="97">
        <v>0</v>
      </c>
      <c r="T43" s="97">
        <v>0</v>
      </c>
      <c r="U43" s="97">
        <v>0</v>
      </c>
      <c r="V43" s="97">
        <v>0</v>
      </c>
      <c r="W43" s="97">
        <v>0</v>
      </c>
      <c r="X43" s="97">
        <v>0</v>
      </c>
      <c r="Y43" s="97">
        <v>0</v>
      </c>
      <c r="Z43" s="97">
        <v>0</v>
      </c>
      <c r="AA43" s="97">
        <v>0</v>
      </c>
      <c r="AB43" s="101">
        <f t="shared" si="5"/>
        <v>0</v>
      </c>
      <c r="AC43" s="101">
        <f t="shared" si="7"/>
        <v>0</v>
      </c>
    </row>
    <row r="44" spans="1:29" x14ac:dyDescent="0.25">
      <c r="A44" s="41" t="s">
        <v>148</v>
      </c>
      <c r="B44" s="25" t="s">
        <v>147</v>
      </c>
      <c r="C44" s="97">
        <v>0</v>
      </c>
      <c r="D44" s="97">
        <v>0</v>
      </c>
      <c r="E44" s="97">
        <v>0</v>
      </c>
      <c r="F44" s="97">
        <v>0</v>
      </c>
      <c r="G44" s="99">
        <v>0</v>
      </c>
      <c r="H44" s="99">
        <v>0</v>
      </c>
      <c r="I44" s="99">
        <v>0</v>
      </c>
      <c r="J44" s="99">
        <v>0</v>
      </c>
      <c r="K44" s="99">
        <v>0</v>
      </c>
      <c r="L44" s="99">
        <v>0</v>
      </c>
      <c r="M44" s="99">
        <v>0</v>
      </c>
      <c r="N44" s="99">
        <v>0</v>
      </c>
      <c r="O44" s="99">
        <v>0</v>
      </c>
      <c r="P44" s="99">
        <f t="shared" ref="P44:P50" si="11">F44</f>
        <v>0</v>
      </c>
      <c r="Q44" s="99">
        <v>0</v>
      </c>
      <c r="R44" s="99">
        <v>0</v>
      </c>
      <c r="S44" s="99">
        <v>0</v>
      </c>
      <c r="T44" s="99">
        <v>0</v>
      </c>
      <c r="U44" s="99">
        <v>0</v>
      </c>
      <c r="V44" s="99">
        <v>0</v>
      </c>
      <c r="W44" s="99">
        <v>0</v>
      </c>
      <c r="X44" s="99">
        <v>0</v>
      </c>
      <c r="Y44" s="99">
        <v>0</v>
      </c>
      <c r="Z44" s="99">
        <v>0</v>
      </c>
      <c r="AA44" s="99">
        <v>0</v>
      </c>
      <c r="AB44" s="101">
        <f t="shared" si="5"/>
        <v>0</v>
      </c>
      <c r="AC44" s="101">
        <f t="shared" si="7"/>
        <v>0</v>
      </c>
    </row>
    <row r="45" spans="1:29" x14ac:dyDescent="0.25">
      <c r="A45" s="41" t="s">
        <v>146</v>
      </c>
      <c r="B45" s="25" t="s">
        <v>145</v>
      </c>
      <c r="C45" s="97">
        <f>C37</f>
        <v>80</v>
      </c>
      <c r="D45" s="97">
        <v>0</v>
      </c>
      <c r="E45" s="97">
        <f>C45</f>
        <v>80</v>
      </c>
      <c r="F45" s="97">
        <f>E45-G45-H45</f>
        <v>80</v>
      </c>
      <c r="G45" s="99">
        <v>0</v>
      </c>
      <c r="H45" s="99">
        <v>0</v>
      </c>
      <c r="I45" s="99">
        <v>0</v>
      </c>
      <c r="J45" s="99">
        <v>0</v>
      </c>
      <c r="K45" s="99">
        <v>0</v>
      </c>
      <c r="L45" s="99">
        <v>0</v>
      </c>
      <c r="M45" s="99">
        <v>0</v>
      </c>
      <c r="N45" s="99">
        <v>0</v>
      </c>
      <c r="O45" s="99">
        <v>0</v>
      </c>
      <c r="P45" s="99">
        <f t="shared" si="11"/>
        <v>80</v>
      </c>
      <c r="Q45" s="99">
        <v>0</v>
      </c>
      <c r="R45" s="99">
        <v>0</v>
      </c>
      <c r="S45" s="99">
        <v>0</v>
      </c>
      <c r="T45" s="99">
        <v>0</v>
      </c>
      <c r="U45" s="99">
        <v>0</v>
      </c>
      <c r="V45" s="99">
        <v>0</v>
      </c>
      <c r="W45" s="99">
        <v>0</v>
      </c>
      <c r="X45" s="99">
        <v>0</v>
      </c>
      <c r="Y45" s="99">
        <v>0</v>
      </c>
      <c r="Z45" s="99">
        <v>0</v>
      </c>
      <c r="AA45" s="99">
        <v>0</v>
      </c>
      <c r="AB45" s="101">
        <f t="shared" si="5"/>
        <v>80</v>
      </c>
      <c r="AC45" s="101">
        <f t="shared" si="7"/>
        <v>0</v>
      </c>
    </row>
    <row r="46" spans="1:29" x14ac:dyDescent="0.25">
      <c r="A46" s="41" t="s">
        <v>144</v>
      </c>
      <c r="B46" s="25" t="s">
        <v>143</v>
      </c>
      <c r="C46" s="97">
        <v>0</v>
      </c>
      <c r="D46" s="97">
        <v>0</v>
      </c>
      <c r="E46" s="97">
        <v>0</v>
      </c>
      <c r="F46" s="97">
        <v>0</v>
      </c>
      <c r="G46" s="99">
        <v>0</v>
      </c>
      <c r="H46" s="99">
        <v>0</v>
      </c>
      <c r="I46" s="99">
        <v>0</v>
      </c>
      <c r="J46" s="99">
        <v>0</v>
      </c>
      <c r="K46" s="99">
        <v>0</v>
      </c>
      <c r="L46" s="99">
        <v>0</v>
      </c>
      <c r="M46" s="99">
        <v>0</v>
      </c>
      <c r="N46" s="99">
        <v>0</v>
      </c>
      <c r="O46" s="99">
        <v>0</v>
      </c>
      <c r="P46" s="99">
        <f t="shared" si="11"/>
        <v>0</v>
      </c>
      <c r="Q46" s="99">
        <v>0</v>
      </c>
      <c r="R46" s="99">
        <v>0</v>
      </c>
      <c r="S46" s="99">
        <v>0</v>
      </c>
      <c r="T46" s="99">
        <v>0</v>
      </c>
      <c r="U46" s="99">
        <v>0</v>
      </c>
      <c r="V46" s="99">
        <v>0</v>
      </c>
      <c r="W46" s="99">
        <v>0</v>
      </c>
      <c r="X46" s="99">
        <v>0</v>
      </c>
      <c r="Y46" s="99">
        <v>0</v>
      </c>
      <c r="Z46" s="99">
        <v>0</v>
      </c>
      <c r="AA46" s="99">
        <v>0</v>
      </c>
      <c r="AB46" s="101">
        <f t="shared" si="5"/>
        <v>0</v>
      </c>
      <c r="AC46" s="101">
        <f t="shared" si="7"/>
        <v>0</v>
      </c>
    </row>
    <row r="47" spans="1:29" ht="31.5" x14ac:dyDescent="0.25">
      <c r="A47" s="41" t="s">
        <v>142</v>
      </c>
      <c r="B47" s="25" t="s">
        <v>141</v>
      </c>
      <c r="C47" s="97">
        <v>0</v>
      </c>
      <c r="D47" s="97">
        <v>0</v>
      </c>
      <c r="E47" s="97">
        <v>0</v>
      </c>
      <c r="F47" s="97">
        <v>0</v>
      </c>
      <c r="G47" s="99">
        <v>0</v>
      </c>
      <c r="H47" s="99">
        <v>0</v>
      </c>
      <c r="I47" s="99">
        <v>0</v>
      </c>
      <c r="J47" s="99">
        <v>0</v>
      </c>
      <c r="K47" s="99">
        <v>0</v>
      </c>
      <c r="L47" s="99">
        <v>0</v>
      </c>
      <c r="M47" s="99">
        <v>0</v>
      </c>
      <c r="N47" s="99">
        <v>0</v>
      </c>
      <c r="O47" s="99">
        <v>0</v>
      </c>
      <c r="P47" s="99">
        <f t="shared" si="11"/>
        <v>0</v>
      </c>
      <c r="Q47" s="99">
        <v>0</v>
      </c>
      <c r="R47" s="99">
        <v>0</v>
      </c>
      <c r="S47" s="99">
        <v>0</v>
      </c>
      <c r="T47" s="99">
        <v>0</v>
      </c>
      <c r="U47" s="99">
        <v>0</v>
      </c>
      <c r="V47" s="99">
        <v>0</v>
      </c>
      <c r="W47" s="99">
        <v>0</v>
      </c>
      <c r="X47" s="99">
        <v>0</v>
      </c>
      <c r="Y47" s="99">
        <v>0</v>
      </c>
      <c r="Z47" s="99">
        <v>0</v>
      </c>
      <c r="AA47" s="99">
        <v>0</v>
      </c>
      <c r="AB47" s="101">
        <f t="shared" si="5"/>
        <v>0</v>
      </c>
      <c r="AC47" s="101">
        <f t="shared" si="7"/>
        <v>0</v>
      </c>
    </row>
    <row r="48" spans="1:29" ht="31.5" x14ac:dyDescent="0.25">
      <c r="A48" s="41" t="s">
        <v>140</v>
      </c>
      <c r="B48" s="25" t="s">
        <v>139</v>
      </c>
      <c r="C48" s="97">
        <v>0</v>
      </c>
      <c r="D48" s="97">
        <v>0</v>
      </c>
      <c r="E48" s="97">
        <v>0</v>
      </c>
      <c r="F48" s="97">
        <v>0</v>
      </c>
      <c r="G48" s="99">
        <v>0</v>
      </c>
      <c r="H48" s="99">
        <v>0</v>
      </c>
      <c r="I48" s="99">
        <v>0</v>
      </c>
      <c r="J48" s="99">
        <v>0</v>
      </c>
      <c r="K48" s="99">
        <v>0</v>
      </c>
      <c r="L48" s="99">
        <v>0</v>
      </c>
      <c r="M48" s="99">
        <v>0</v>
      </c>
      <c r="N48" s="99">
        <v>0</v>
      </c>
      <c r="O48" s="99">
        <v>0</v>
      </c>
      <c r="P48" s="99">
        <f t="shared" si="11"/>
        <v>0</v>
      </c>
      <c r="Q48" s="99">
        <v>0</v>
      </c>
      <c r="R48" s="99">
        <v>0</v>
      </c>
      <c r="S48" s="99">
        <v>0</v>
      </c>
      <c r="T48" s="99">
        <v>0</v>
      </c>
      <c r="U48" s="99">
        <v>0</v>
      </c>
      <c r="V48" s="99">
        <v>0</v>
      </c>
      <c r="W48" s="99">
        <v>0</v>
      </c>
      <c r="X48" s="99">
        <v>0</v>
      </c>
      <c r="Y48" s="99">
        <v>0</v>
      </c>
      <c r="Z48" s="99">
        <v>0</v>
      </c>
      <c r="AA48" s="99">
        <v>0</v>
      </c>
      <c r="AB48" s="101">
        <f t="shared" si="5"/>
        <v>0</v>
      </c>
      <c r="AC48" s="101">
        <f t="shared" si="7"/>
        <v>0</v>
      </c>
    </row>
    <row r="49" spans="1:29" x14ac:dyDescent="0.25">
      <c r="A49" s="41" t="s">
        <v>138</v>
      </c>
      <c r="B49" s="25" t="s">
        <v>137</v>
      </c>
      <c r="C49" s="97">
        <v>0</v>
      </c>
      <c r="D49" s="97">
        <v>0</v>
      </c>
      <c r="E49" s="97">
        <v>0</v>
      </c>
      <c r="F49" s="97">
        <v>0</v>
      </c>
      <c r="G49" s="99">
        <v>0</v>
      </c>
      <c r="H49" s="99">
        <v>0</v>
      </c>
      <c r="I49" s="99">
        <v>0</v>
      </c>
      <c r="J49" s="99">
        <v>0</v>
      </c>
      <c r="K49" s="99">
        <v>0</v>
      </c>
      <c r="L49" s="99">
        <v>0</v>
      </c>
      <c r="M49" s="99">
        <v>0</v>
      </c>
      <c r="N49" s="99">
        <v>0</v>
      </c>
      <c r="O49" s="99">
        <v>0</v>
      </c>
      <c r="P49" s="99">
        <f t="shared" si="11"/>
        <v>0</v>
      </c>
      <c r="Q49" s="99">
        <v>0</v>
      </c>
      <c r="R49" s="99">
        <v>0</v>
      </c>
      <c r="S49" s="99">
        <v>0</v>
      </c>
      <c r="T49" s="99">
        <v>0</v>
      </c>
      <c r="U49" s="99">
        <v>0</v>
      </c>
      <c r="V49" s="99">
        <v>0</v>
      </c>
      <c r="W49" s="99">
        <v>0</v>
      </c>
      <c r="X49" s="99">
        <v>0</v>
      </c>
      <c r="Y49" s="99">
        <v>0</v>
      </c>
      <c r="Z49" s="99">
        <v>0</v>
      </c>
      <c r="AA49" s="99">
        <v>0</v>
      </c>
      <c r="AB49" s="101">
        <f t="shared" si="5"/>
        <v>0</v>
      </c>
      <c r="AC49" s="101">
        <f t="shared" si="7"/>
        <v>0</v>
      </c>
    </row>
    <row r="50" spans="1:29" ht="18.75" x14ac:dyDescent="0.25">
      <c r="A50" s="41" t="s">
        <v>136</v>
      </c>
      <c r="B50" s="40" t="s">
        <v>531</v>
      </c>
      <c r="C50" s="97">
        <v>34</v>
      </c>
      <c r="D50" s="97">
        <v>0</v>
      </c>
      <c r="E50" s="97">
        <v>34</v>
      </c>
      <c r="F50" s="97">
        <v>34</v>
      </c>
      <c r="G50" s="99">
        <v>0</v>
      </c>
      <c r="H50" s="99">
        <v>0</v>
      </c>
      <c r="I50" s="99">
        <v>0</v>
      </c>
      <c r="J50" s="99">
        <v>0</v>
      </c>
      <c r="K50" s="99">
        <v>0</v>
      </c>
      <c r="L50" s="99">
        <v>0</v>
      </c>
      <c r="M50" s="99">
        <v>0</v>
      </c>
      <c r="N50" s="99">
        <v>0</v>
      </c>
      <c r="O50" s="99">
        <v>0</v>
      </c>
      <c r="P50" s="99">
        <f t="shared" si="11"/>
        <v>34</v>
      </c>
      <c r="Q50" s="99">
        <v>0</v>
      </c>
      <c r="R50" s="99">
        <v>0</v>
      </c>
      <c r="S50" s="99">
        <v>0</v>
      </c>
      <c r="T50" s="99">
        <v>0</v>
      </c>
      <c r="U50" s="99">
        <v>0</v>
      </c>
      <c r="V50" s="99">
        <v>0</v>
      </c>
      <c r="W50" s="99">
        <v>0</v>
      </c>
      <c r="X50" s="99">
        <v>0</v>
      </c>
      <c r="Y50" s="99">
        <v>0</v>
      </c>
      <c r="Z50" s="99">
        <v>0</v>
      </c>
      <c r="AA50" s="99">
        <v>0</v>
      </c>
      <c r="AB50" s="101">
        <f t="shared" si="5"/>
        <v>34</v>
      </c>
      <c r="AC50" s="101">
        <f t="shared" si="7"/>
        <v>0</v>
      </c>
    </row>
    <row r="51" spans="1:29" ht="35.25" customHeight="1" x14ac:dyDescent="0.25">
      <c r="A51" s="44" t="s">
        <v>57</v>
      </c>
      <c r="B51" s="43" t="s">
        <v>135</v>
      </c>
      <c r="C51" s="97">
        <v>0</v>
      </c>
      <c r="D51" s="97">
        <v>0</v>
      </c>
      <c r="E51" s="97">
        <v>0</v>
      </c>
      <c r="F51" s="97">
        <v>0</v>
      </c>
      <c r="G51" s="97">
        <v>0</v>
      </c>
      <c r="H51" s="97">
        <v>0</v>
      </c>
      <c r="I51" s="97">
        <v>0</v>
      </c>
      <c r="J51" s="97">
        <v>0</v>
      </c>
      <c r="K51" s="97">
        <v>0</v>
      </c>
      <c r="L51" s="97">
        <v>0</v>
      </c>
      <c r="M51" s="97">
        <v>0</v>
      </c>
      <c r="N51" s="97">
        <v>0</v>
      </c>
      <c r="O51" s="97">
        <v>0</v>
      </c>
      <c r="P51" s="97">
        <v>0</v>
      </c>
      <c r="Q51" s="97">
        <v>0</v>
      </c>
      <c r="R51" s="97">
        <v>0</v>
      </c>
      <c r="S51" s="97">
        <v>0</v>
      </c>
      <c r="T51" s="97">
        <v>0</v>
      </c>
      <c r="U51" s="97">
        <v>0</v>
      </c>
      <c r="V51" s="97">
        <v>0</v>
      </c>
      <c r="W51" s="97">
        <v>0</v>
      </c>
      <c r="X51" s="97">
        <v>0</v>
      </c>
      <c r="Y51" s="97">
        <v>0</v>
      </c>
      <c r="Z51" s="97">
        <v>0</v>
      </c>
      <c r="AA51" s="97">
        <v>0</v>
      </c>
      <c r="AB51" s="101">
        <f t="shared" si="5"/>
        <v>0</v>
      </c>
      <c r="AC51" s="101">
        <f t="shared" si="7"/>
        <v>0</v>
      </c>
    </row>
    <row r="52" spans="1:29" x14ac:dyDescent="0.25">
      <c r="A52" s="41" t="s">
        <v>134</v>
      </c>
      <c r="B52" s="25" t="s">
        <v>133</v>
      </c>
      <c r="C52" s="97">
        <f>C30</f>
        <v>249.60219762390051</v>
      </c>
      <c r="D52" s="97">
        <v>0</v>
      </c>
      <c r="E52" s="97">
        <f>C52</f>
        <v>249.60219762390051</v>
      </c>
      <c r="F52" s="97">
        <f>E52-G52-H52</f>
        <v>249.60219762390051</v>
      </c>
      <c r="G52" s="99">
        <v>0</v>
      </c>
      <c r="H52" s="99">
        <v>0</v>
      </c>
      <c r="I52" s="99">
        <v>0</v>
      </c>
      <c r="J52" s="99">
        <v>0</v>
      </c>
      <c r="K52" s="99">
        <v>0</v>
      </c>
      <c r="L52" s="99">
        <v>0</v>
      </c>
      <c r="M52" s="99">
        <v>0</v>
      </c>
      <c r="N52" s="99">
        <v>0</v>
      </c>
      <c r="O52" s="99">
        <v>0</v>
      </c>
      <c r="P52" s="99">
        <f t="shared" ref="P52:P57" si="12">F52</f>
        <v>249.60219762390051</v>
      </c>
      <c r="Q52" s="99">
        <v>0</v>
      </c>
      <c r="R52" s="99">
        <v>0</v>
      </c>
      <c r="S52" s="99">
        <v>0</v>
      </c>
      <c r="T52" s="99">
        <v>0</v>
      </c>
      <c r="U52" s="99">
        <v>0</v>
      </c>
      <c r="V52" s="99">
        <v>0</v>
      </c>
      <c r="W52" s="99">
        <v>0</v>
      </c>
      <c r="X52" s="99">
        <v>0</v>
      </c>
      <c r="Y52" s="99">
        <v>0</v>
      </c>
      <c r="Z52" s="99">
        <v>0</v>
      </c>
      <c r="AA52" s="99">
        <v>0</v>
      </c>
      <c r="AB52" s="101">
        <f t="shared" si="5"/>
        <v>249.60219762390051</v>
      </c>
      <c r="AC52" s="101">
        <f t="shared" si="7"/>
        <v>0</v>
      </c>
    </row>
    <row r="53" spans="1:29" x14ac:dyDescent="0.25">
      <c r="A53" s="41" t="s">
        <v>132</v>
      </c>
      <c r="B53" s="25" t="s">
        <v>126</v>
      </c>
      <c r="C53" s="97">
        <v>0</v>
      </c>
      <c r="D53" s="97">
        <v>0</v>
      </c>
      <c r="E53" s="97">
        <f>C53</f>
        <v>0</v>
      </c>
      <c r="F53" s="97">
        <f>E53-G53-H53</f>
        <v>0</v>
      </c>
      <c r="G53" s="99">
        <v>0</v>
      </c>
      <c r="H53" s="99">
        <v>0</v>
      </c>
      <c r="I53" s="99">
        <v>0</v>
      </c>
      <c r="J53" s="99">
        <v>0</v>
      </c>
      <c r="K53" s="99">
        <v>0</v>
      </c>
      <c r="L53" s="99">
        <v>0</v>
      </c>
      <c r="M53" s="99">
        <v>0</v>
      </c>
      <c r="N53" s="99">
        <v>0</v>
      </c>
      <c r="O53" s="99">
        <v>0</v>
      </c>
      <c r="P53" s="99">
        <f t="shared" si="12"/>
        <v>0</v>
      </c>
      <c r="Q53" s="99">
        <v>0</v>
      </c>
      <c r="R53" s="99">
        <v>0</v>
      </c>
      <c r="S53" s="99">
        <v>0</v>
      </c>
      <c r="T53" s="99">
        <v>0</v>
      </c>
      <c r="U53" s="99">
        <v>0</v>
      </c>
      <c r="V53" s="99">
        <v>0</v>
      </c>
      <c r="W53" s="99">
        <v>0</v>
      </c>
      <c r="X53" s="99">
        <v>0</v>
      </c>
      <c r="Y53" s="99">
        <v>0</v>
      </c>
      <c r="Z53" s="99">
        <v>0</v>
      </c>
      <c r="AA53" s="99">
        <v>0</v>
      </c>
      <c r="AB53" s="101">
        <f t="shared" si="5"/>
        <v>0</v>
      </c>
      <c r="AC53" s="101">
        <f t="shared" si="7"/>
        <v>0</v>
      </c>
    </row>
    <row r="54" spans="1:29" x14ac:dyDescent="0.25">
      <c r="A54" s="41" t="s">
        <v>131</v>
      </c>
      <c r="B54" s="40" t="s">
        <v>125</v>
      </c>
      <c r="C54" s="97">
        <f>C45</f>
        <v>80</v>
      </c>
      <c r="D54" s="97">
        <v>0</v>
      </c>
      <c r="E54" s="97">
        <f>C54</f>
        <v>80</v>
      </c>
      <c r="F54" s="97">
        <f>E54-G54-H54</f>
        <v>80</v>
      </c>
      <c r="G54" s="99">
        <v>0</v>
      </c>
      <c r="H54" s="99">
        <v>0</v>
      </c>
      <c r="I54" s="99">
        <v>0</v>
      </c>
      <c r="J54" s="99">
        <v>0</v>
      </c>
      <c r="K54" s="99">
        <v>0</v>
      </c>
      <c r="L54" s="99">
        <v>0</v>
      </c>
      <c r="M54" s="99">
        <v>0</v>
      </c>
      <c r="N54" s="99">
        <v>0</v>
      </c>
      <c r="O54" s="99">
        <v>0</v>
      </c>
      <c r="P54" s="99">
        <f t="shared" si="12"/>
        <v>80</v>
      </c>
      <c r="Q54" s="99">
        <v>0</v>
      </c>
      <c r="R54" s="99">
        <v>0</v>
      </c>
      <c r="S54" s="99">
        <v>0</v>
      </c>
      <c r="T54" s="99">
        <v>0</v>
      </c>
      <c r="U54" s="99">
        <v>0</v>
      </c>
      <c r="V54" s="99">
        <v>0</v>
      </c>
      <c r="W54" s="99">
        <v>0</v>
      </c>
      <c r="X54" s="99">
        <v>0</v>
      </c>
      <c r="Y54" s="99">
        <v>0</v>
      </c>
      <c r="Z54" s="99">
        <v>0</v>
      </c>
      <c r="AA54" s="99">
        <v>0</v>
      </c>
      <c r="AB54" s="101">
        <f t="shared" si="5"/>
        <v>80</v>
      </c>
      <c r="AC54" s="101">
        <f t="shared" si="7"/>
        <v>0</v>
      </c>
    </row>
    <row r="55" spans="1:29" x14ac:dyDescent="0.25">
      <c r="A55" s="41" t="s">
        <v>130</v>
      </c>
      <c r="B55" s="40" t="s">
        <v>124</v>
      </c>
      <c r="C55" s="97">
        <v>0</v>
      </c>
      <c r="D55" s="97">
        <v>0</v>
      </c>
      <c r="E55" s="97">
        <v>0</v>
      </c>
      <c r="F55" s="97">
        <v>0</v>
      </c>
      <c r="G55" s="99">
        <v>0</v>
      </c>
      <c r="H55" s="99">
        <v>0</v>
      </c>
      <c r="I55" s="99">
        <v>0</v>
      </c>
      <c r="J55" s="99">
        <v>0</v>
      </c>
      <c r="K55" s="99">
        <v>0</v>
      </c>
      <c r="L55" s="99">
        <v>0</v>
      </c>
      <c r="M55" s="99">
        <v>0</v>
      </c>
      <c r="N55" s="99">
        <v>0</v>
      </c>
      <c r="O55" s="99">
        <v>0</v>
      </c>
      <c r="P55" s="99">
        <f t="shared" si="12"/>
        <v>0</v>
      </c>
      <c r="Q55" s="99">
        <v>0</v>
      </c>
      <c r="R55" s="99">
        <v>0</v>
      </c>
      <c r="S55" s="99">
        <v>0</v>
      </c>
      <c r="T55" s="99">
        <v>0</v>
      </c>
      <c r="U55" s="99">
        <v>0</v>
      </c>
      <c r="V55" s="99">
        <v>0</v>
      </c>
      <c r="W55" s="99">
        <v>0</v>
      </c>
      <c r="X55" s="99">
        <v>0</v>
      </c>
      <c r="Y55" s="99">
        <v>0</v>
      </c>
      <c r="Z55" s="99">
        <v>0</v>
      </c>
      <c r="AA55" s="99">
        <v>0</v>
      </c>
      <c r="AB55" s="101">
        <f t="shared" si="5"/>
        <v>0</v>
      </c>
      <c r="AC55" s="101">
        <f t="shared" si="7"/>
        <v>0</v>
      </c>
    </row>
    <row r="56" spans="1:29" x14ac:dyDescent="0.25">
      <c r="A56" s="41" t="s">
        <v>129</v>
      </c>
      <c r="B56" s="40" t="s">
        <v>123</v>
      </c>
      <c r="C56" s="97">
        <v>0</v>
      </c>
      <c r="D56" s="97">
        <v>0</v>
      </c>
      <c r="E56" s="97">
        <v>0</v>
      </c>
      <c r="F56" s="97">
        <v>0</v>
      </c>
      <c r="G56" s="99">
        <v>0</v>
      </c>
      <c r="H56" s="99">
        <v>0</v>
      </c>
      <c r="I56" s="99">
        <v>0</v>
      </c>
      <c r="J56" s="99">
        <v>0</v>
      </c>
      <c r="K56" s="99">
        <v>0</v>
      </c>
      <c r="L56" s="99">
        <v>0</v>
      </c>
      <c r="M56" s="99">
        <v>0</v>
      </c>
      <c r="N56" s="99">
        <v>0</v>
      </c>
      <c r="O56" s="99">
        <v>0</v>
      </c>
      <c r="P56" s="99">
        <f t="shared" si="12"/>
        <v>0</v>
      </c>
      <c r="Q56" s="99">
        <v>0</v>
      </c>
      <c r="R56" s="99">
        <v>0</v>
      </c>
      <c r="S56" s="99">
        <v>0</v>
      </c>
      <c r="T56" s="99">
        <v>0</v>
      </c>
      <c r="U56" s="99">
        <v>0</v>
      </c>
      <c r="V56" s="99">
        <v>0</v>
      </c>
      <c r="W56" s="99">
        <v>0</v>
      </c>
      <c r="X56" s="99">
        <v>0</v>
      </c>
      <c r="Y56" s="99">
        <v>0</v>
      </c>
      <c r="Z56" s="99">
        <v>0</v>
      </c>
      <c r="AA56" s="99">
        <v>0</v>
      </c>
      <c r="AB56" s="101">
        <f t="shared" si="5"/>
        <v>0</v>
      </c>
      <c r="AC56" s="101">
        <f t="shared" si="7"/>
        <v>0</v>
      </c>
    </row>
    <row r="57" spans="1:29" ht="18.75" x14ac:dyDescent="0.25">
      <c r="A57" s="41" t="s">
        <v>128</v>
      </c>
      <c r="B57" s="40" t="s">
        <v>531</v>
      </c>
      <c r="C57" s="97">
        <v>34</v>
      </c>
      <c r="D57" s="97">
        <v>0</v>
      </c>
      <c r="E57" s="97">
        <v>34</v>
      </c>
      <c r="F57" s="97">
        <v>34</v>
      </c>
      <c r="G57" s="99">
        <v>0</v>
      </c>
      <c r="H57" s="99">
        <v>0</v>
      </c>
      <c r="I57" s="99">
        <v>0</v>
      </c>
      <c r="J57" s="99">
        <v>0</v>
      </c>
      <c r="K57" s="99">
        <v>0</v>
      </c>
      <c r="L57" s="99">
        <v>0</v>
      </c>
      <c r="M57" s="99">
        <v>0</v>
      </c>
      <c r="N57" s="99">
        <v>0</v>
      </c>
      <c r="O57" s="99">
        <v>0</v>
      </c>
      <c r="P57" s="99">
        <f t="shared" si="12"/>
        <v>34</v>
      </c>
      <c r="Q57" s="99">
        <v>0</v>
      </c>
      <c r="R57" s="99">
        <v>0</v>
      </c>
      <c r="S57" s="99">
        <v>0</v>
      </c>
      <c r="T57" s="99">
        <v>0</v>
      </c>
      <c r="U57" s="99">
        <v>0</v>
      </c>
      <c r="V57" s="99">
        <v>0</v>
      </c>
      <c r="W57" s="99">
        <v>0</v>
      </c>
      <c r="X57" s="99">
        <v>0</v>
      </c>
      <c r="Y57" s="99">
        <v>0</v>
      </c>
      <c r="Z57" s="99">
        <v>0</v>
      </c>
      <c r="AA57" s="99">
        <v>0</v>
      </c>
      <c r="AB57" s="101">
        <f t="shared" si="5"/>
        <v>34</v>
      </c>
      <c r="AC57" s="101">
        <f t="shared" si="7"/>
        <v>0</v>
      </c>
    </row>
    <row r="58" spans="1:29" ht="36.75" customHeight="1" x14ac:dyDescent="0.25">
      <c r="A58" s="44" t="s">
        <v>56</v>
      </c>
      <c r="B58" s="53" t="s">
        <v>207</v>
      </c>
      <c r="C58" s="97">
        <v>0</v>
      </c>
      <c r="D58" s="97">
        <v>0</v>
      </c>
      <c r="E58" s="97">
        <v>0</v>
      </c>
      <c r="F58" s="97">
        <v>0</v>
      </c>
      <c r="G58" s="97">
        <v>0</v>
      </c>
      <c r="H58" s="97">
        <v>0</v>
      </c>
      <c r="I58" s="97">
        <v>0</v>
      </c>
      <c r="J58" s="97">
        <v>0</v>
      </c>
      <c r="K58" s="97">
        <v>0</v>
      </c>
      <c r="L58" s="97">
        <v>0</v>
      </c>
      <c r="M58" s="97">
        <v>0</v>
      </c>
      <c r="N58" s="97">
        <v>0</v>
      </c>
      <c r="O58" s="97">
        <v>0</v>
      </c>
      <c r="P58" s="97">
        <v>0</v>
      </c>
      <c r="Q58" s="97">
        <v>0</v>
      </c>
      <c r="R58" s="97">
        <v>0</v>
      </c>
      <c r="S58" s="97">
        <v>0</v>
      </c>
      <c r="T58" s="97">
        <v>0</v>
      </c>
      <c r="U58" s="97">
        <v>0</v>
      </c>
      <c r="V58" s="97">
        <v>0</v>
      </c>
      <c r="W58" s="97">
        <v>0</v>
      </c>
      <c r="X58" s="97">
        <v>0</v>
      </c>
      <c r="Y58" s="97">
        <v>0</v>
      </c>
      <c r="Z58" s="97">
        <v>0</v>
      </c>
      <c r="AA58" s="97">
        <v>0</v>
      </c>
      <c r="AB58" s="101">
        <f t="shared" si="5"/>
        <v>0</v>
      </c>
      <c r="AC58" s="101">
        <f t="shared" si="7"/>
        <v>0</v>
      </c>
    </row>
    <row r="59" spans="1:29" x14ac:dyDescent="0.25">
      <c r="A59" s="44" t="s">
        <v>54</v>
      </c>
      <c r="B59" s="43" t="s">
        <v>127</v>
      </c>
      <c r="C59" s="97">
        <v>0</v>
      </c>
      <c r="D59" s="97">
        <v>0</v>
      </c>
      <c r="E59" s="97">
        <v>0</v>
      </c>
      <c r="F59" s="97">
        <v>0</v>
      </c>
      <c r="G59" s="97">
        <v>0</v>
      </c>
      <c r="H59" s="97">
        <v>0</v>
      </c>
      <c r="I59" s="97">
        <v>0</v>
      </c>
      <c r="J59" s="97">
        <v>0</v>
      </c>
      <c r="K59" s="97">
        <v>0</v>
      </c>
      <c r="L59" s="97">
        <v>0</v>
      </c>
      <c r="M59" s="97">
        <v>0</v>
      </c>
      <c r="N59" s="97">
        <v>0</v>
      </c>
      <c r="O59" s="97">
        <v>0</v>
      </c>
      <c r="P59" s="97">
        <v>0</v>
      </c>
      <c r="Q59" s="97">
        <v>0</v>
      </c>
      <c r="R59" s="97">
        <v>0</v>
      </c>
      <c r="S59" s="97">
        <v>0</v>
      </c>
      <c r="T59" s="97">
        <v>0</v>
      </c>
      <c r="U59" s="97">
        <v>0</v>
      </c>
      <c r="V59" s="97">
        <v>0</v>
      </c>
      <c r="W59" s="97">
        <v>0</v>
      </c>
      <c r="X59" s="97">
        <v>0</v>
      </c>
      <c r="Y59" s="97">
        <v>0</v>
      </c>
      <c r="Z59" s="97">
        <v>0</v>
      </c>
      <c r="AA59" s="97">
        <v>0</v>
      </c>
      <c r="AB59" s="101">
        <f t="shared" si="5"/>
        <v>0</v>
      </c>
      <c r="AC59" s="101">
        <f t="shared" si="7"/>
        <v>0</v>
      </c>
    </row>
    <row r="60" spans="1:29" x14ac:dyDescent="0.25">
      <c r="A60" s="41" t="s">
        <v>201</v>
      </c>
      <c r="B60" s="42" t="s">
        <v>147</v>
      </c>
      <c r="C60" s="97">
        <v>0</v>
      </c>
      <c r="D60" s="97">
        <v>0</v>
      </c>
      <c r="E60" s="97">
        <v>0</v>
      </c>
      <c r="F60" s="97">
        <v>0</v>
      </c>
      <c r="G60" s="99">
        <v>0</v>
      </c>
      <c r="H60" s="99">
        <v>0</v>
      </c>
      <c r="I60" s="99">
        <v>0</v>
      </c>
      <c r="J60" s="99">
        <v>0</v>
      </c>
      <c r="K60" s="99">
        <v>0</v>
      </c>
      <c r="L60" s="99">
        <v>0</v>
      </c>
      <c r="M60" s="99">
        <v>0</v>
      </c>
      <c r="N60" s="99">
        <v>0</v>
      </c>
      <c r="O60" s="99">
        <v>0</v>
      </c>
      <c r="P60" s="99">
        <v>0</v>
      </c>
      <c r="Q60" s="99">
        <v>0</v>
      </c>
      <c r="R60" s="99">
        <v>0</v>
      </c>
      <c r="S60" s="99">
        <v>0</v>
      </c>
      <c r="T60" s="99">
        <v>0</v>
      </c>
      <c r="U60" s="99">
        <v>0</v>
      </c>
      <c r="V60" s="99">
        <v>0</v>
      </c>
      <c r="W60" s="99">
        <v>0</v>
      </c>
      <c r="X60" s="99">
        <v>0</v>
      </c>
      <c r="Y60" s="99">
        <v>0</v>
      </c>
      <c r="Z60" s="99">
        <v>0</v>
      </c>
      <c r="AA60" s="99">
        <v>0</v>
      </c>
      <c r="AB60" s="101">
        <f t="shared" si="5"/>
        <v>0</v>
      </c>
      <c r="AC60" s="101">
        <f t="shared" si="7"/>
        <v>0</v>
      </c>
    </row>
    <row r="61" spans="1:29" x14ac:dyDescent="0.25">
      <c r="A61" s="41" t="s">
        <v>202</v>
      </c>
      <c r="B61" s="42" t="s">
        <v>145</v>
      </c>
      <c r="C61" s="97">
        <v>0</v>
      </c>
      <c r="D61" s="97">
        <v>0</v>
      </c>
      <c r="E61" s="97">
        <v>0</v>
      </c>
      <c r="F61" s="97">
        <v>0</v>
      </c>
      <c r="G61" s="99">
        <v>0</v>
      </c>
      <c r="H61" s="99">
        <v>0</v>
      </c>
      <c r="I61" s="99">
        <v>0</v>
      </c>
      <c r="J61" s="99">
        <v>0</v>
      </c>
      <c r="K61" s="99">
        <v>0</v>
      </c>
      <c r="L61" s="99">
        <v>0</v>
      </c>
      <c r="M61" s="99">
        <v>0</v>
      </c>
      <c r="N61" s="99">
        <v>0</v>
      </c>
      <c r="O61" s="99">
        <v>0</v>
      </c>
      <c r="P61" s="99">
        <v>0</v>
      </c>
      <c r="Q61" s="99">
        <v>0</v>
      </c>
      <c r="R61" s="99">
        <v>0</v>
      </c>
      <c r="S61" s="99">
        <v>0</v>
      </c>
      <c r="T61" s="99">
        <v>0</v>
      </c>
      <c r="U61" s="99">
        <v>0</v>
      </c>
      <c r="V61" s="99">
        <v>0</v>
      </c>
      <c r="W61" s="99">
        <v>0</v>
      </c>
      <c r="X61" s="99">
        <v>0</v>
      </c>
      <c r="Y61" s="99">
        <v>0</v>
      </c>
      <c r="Z61" s="99">
        <v>0</v>
      </c>
      <c r="AA61" s="99">
        <v>0</v>
      </c>
      <c r="AB61" s="101">
        <f t="shared" si="5"/>
        <v>0</v>
      </c>
      <c r="AC61" s="101">
        <f t="shared" si="7"/>
        <v>0</v>
      </c>
    </row>
    <row r="62" spans="1:29" x14ac:dyDescent="0.25">
      <c r="A62" s="41" t="s">
        <v>203</v>
      </c>
      <c r="B62" s="42" t="s">
        <v>143</v>
      </c>
      <c r="C62" s="97">
        <v>0</v>
      </c>
      <c r="D62" s="97">
        <v>0</v>
      </c>
      <c r="E62" s="97">
        <v>0</v>
      </c>
      <c r="F62" s="97">
        <v>0</v>
      </c>
      <c r="G62" s="99">
        <v>0</v>
      </c>
      <c r="H62" s="99">
        <v>0</v>
      </c>
      <c r="I62" s="99">
        <v>0</v>
      </c>
      <c r="J62" s="99">
        <v>0</v>
      </c>
      <c r="K62" s="99">
        <v>0</v>
      </c>
      <c r="L62" s="99">
        <v>0</v>
      </c>
      <c r="M62" s="99">
        <v>0</v>
      </c>
      <c r="N62" s="99">
        <v>0</v>
      </c>
      <c r="O62" s="99">
        <v>0</v>
      </c>
      <c r="P62" s="99">
        <v>0</v>
      </c>
      <c r="Q62" s="99">
        <v>0</v>
      </c>
      <c r="R62" s="99">
        <v>0</v>
      </c>
      <c r="S62" s="99">
        <v>0</v>
      </c>
      <c r="T62" s="99">
        <v>0</v>
      </c>
      <c r="U62" s="99">
        <v>0</v>
      </c>
      <c r="V62" s="99">
        <v>0</v>
      </c>
      <c r="W62" s="99">
        <v>0</v>
      </c>
      <c r="X62" s="99">
        <v>0</v>
      </c>
      <c r="Y62" s="99">
        <v>0</v>
      </c>
      <c r="Z62" s="99">
        <v>0</v>
      </c>
      <c r="AA62" s="99">
        <v>0</v>
      </c>
      <c r="AB62" s="101">
        <f t="shared" si="5"/>
        <v>0</v>
      </c>
      <c r="AC62" s="101">
        <f t="shared" si="7"/>
        <v>0</v>
      </c>
    </row>
    <row r="63" spans="1:29" x14ac:dyDescent="0.25">
      <c r="A63" s="41" t="s">
        <v>204</v>
      </c>
      <c r="B63" s="42" t="s">
        <v>206</v>
      </c>
      <c r="C63" s="97">
        <v>0</v>
      </c>
      <c r="D63" s="97">
        <v>0</v>
      </c>
      <c r="E63" s="97">
        <v>0</v>
      </c>
      <c r="F63" s="97">
        <v>0</v>
      </c>
      <c r="G63" s="99">
        <v>0</v>
      </c>
      <c r="H63" s="99">
        <v>0</v>
      </c>
      <c r="I63" s="99">
        <v>0</v>
      </c>
      <c r="J63" s="99">
        <v>0</v>
      </c>
      <c r="K63" s="99">
        <v>0</v>
      </c>
      <c r="L63" s="99">
        <v>0</v>
      </c>
      <c r="M63" s="99">
        <v>0</v>
      </c>
      <c r="N63" s="99">
        <v>0</v>
      </c>
      <c r="O63" s="99">
        <v>0</v>
      </c>
      <c r="P63" s="99">
        <v>0</v>
      </c>
      <c r="Q63" s="99">
        <v>0</v>
      </c>
      <c r="R63" s="99">
        <v>0</v>
      </c>
      <c r="S63" s="99">
        <v>0</v>
      </c>
      <c r="T63" s="99">
        <v>0</v>
      </c>
      <c r="U63" s="99">
        <v>0</v>
      </c>
      <c r="V63" s="99">
        <v>0</v>
      </c>
      <c r="W63" s="99">
        <v>0</v>
      </c>
      <c r="X63" s="99">
        <v>0</v>
      </c>
      <c r="Y63" s="99">
        <v>0</v>
      </c>
      <c r="Z63" s="99">
        <v>0</v>
      </c>
      <c r="AA63" s="99">
        <v>0</v>
      </c>
      <c r="AB63" s="101">
        <f t="shared" si="5"/>
        <v>0</v>
      </c>
      <c r="AC63" s="101">
        <f t="shared" si="7"/>
        <v>0</v>
      </c>
    </row>
    <row r="64" spans="1:29" ht="18.75" x14ac:dyDescent="0.25">
      <c r="A64" s="41" t="s">
        <v>205</v>
      </c>
      <c r="B64" s="40" t="s">
        <v>122</v>
      </c>
      <c r="C64" s="97">
        <v>0</v>
      </c>
      <c r="D64" s="97">
        <v>0</v>
      </c>
      <c r="E64" s="97">
        <v>0</v>
      </c>
      <c r="F64" s="97">
        <v>0</v>
      </c>
      <c r="G64" s="99">
        <v>0</v>
      </c>
      <c r="H64" s="99">
        <v>0</v>
      </c>
      <c r="I64" s="99">
        <v>0</v>
      </c>
      <c r="J64" s="99">
        <v>0</v>
      </c>
      <c r="K64" s="99">
        <v>0</v>
      </c>
      <c r="L64" s="99">
        <v>0</v>
      </c>
      <c r="M64" s="99">
        <v>0</v>
      </c>
      <c r="N64" s="99">
        <v>0</v>
      </c>
      <c r="O64" s="99">
        <v>0</v>
      </c>
      <c r="P64" s="99">
        <v>0</v>
      </c>
      <c r="Q64" s="99">
        <v>0</v>
      </c>
      <c r="R64" s="99">
        <v>0</v>
      </c>
      <c r="S64" s="99">
        <v>0</v>
      </c>
      <c r="T64" s="99">
        <v>0</v>
      </c>
      <c r="U64" s="99">
        <v>0</v>
      </c>
      <c r="V64" s="99">
        <v>0</v>
      </c>
      <c r="W64" s="99">
        <v>0</v>
      </c>
      <c r="X64" s="99">
        <v>0</v>
      </c>
      <c r="Y64" s="99">
        <v>0</v>
      </c>
      <c r="Z64" s="99">
        <v>0</v>
      </c>
      <c r="AA64" s="99">
        <v>0</v>
      </c>
      <c r="AB64" s="101">
        <f t="shared" si="5"/>
        <v>0</v>
      </c>
      <c r="AC64" s="101">
        <f t="shared" si="7"/>
        <v>0</v>
      </c>
    </row>
    <row r="65" spans="1:28" x14ac:dyDescent="0.25">
      <c r="A65" s="38"/>
      <c r="B65" s="33"/>
      <c r="C65" s="33"/>
      <c r="D65" s="33"/>
      <c r="E65" s="33"/>
      <c r="F65" s="33"/>
      <c r="G65" s="33"/>
      <c r="H65" s="33"/>
      <c r="I65" s="33"/>
      <c r="J65" s="33"/>
      <c r="K65" s="33"/>
      <c r="L65" s="38"/>
      <c r="M65" s="38"/>
      <c r="T65" s="38"/>
      <c r="U65" s="38"/>
    </row>
    <row r="66" spans="1:28" ht="54" customHeight="1" x14ac:dyDescent="0.25">
      <c r="B66" s="367"/>
      <c r="C66" s="367"/>
      <c r="D66" s="367"/>
      <c r="E66" s="367"/>
      <c r="F66" s="367"/>
      <c r="G66" s="367"/>
      <c r="H66" s="367"/>
      <c r="I66" s="367"/>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367"/>
      <c r="C68" s="367"/>
      <c r="D68" s="367"/>
      <c r="E68" s="367"/>
      <c r="F68" s="367"/>
      <c r="G68" s="367"/>
      <c r="H68" s="367"/>
      <c r="I68" s="367"/>
      <c r="J68" s="35"/>
      <c r="K68" s="35"/>
    </row>
    <row r="70" spans="1:28" ht="36.75" customHeight="1" x14ac:dyDescent="0.25">
      <c r="B70" s="367"/>
      <c r="C70" s="367"/>
      <c r="D70" s="367"/>
      <c r="E70" s="367"/>
      <c r="F70" s="367"/>
      <c r="G70" s="367"/>
      <c r="H70" s="367"/>
      <c r="I70" s="367"/>
      <c r="J70" s="35"/>
      <c r="K70" s="35"/>
    </row>
    <row r="71" spans="1:28" x14ac:dyDescent="0.25">
      <c r="N71" s="36"/>
      <c r="V71" s="36"/>
    </row>
    <row r="72" spans="1:28" ht="51" customHeight="1" x14ac:dyDescent="0.25">
      <c r="B72" s="367"/>
      <c r="C72" s="367"/>
      <c r="D72" s="367"/>
      <c r="E72" s="367"/>
      <c r="F72" s="367"/>
      <c r="G72" s="367"/>
      <c r="H72" s="367"/>
      <c r="I72" s="367"/>
      <c r="J72" s="35"/>
      <c r="K72" s="35"/>
      <c r="N72" s="36"/>
      <c r="V72" s="36"/>
    </row>
    <row r="73" spans="1:28" ht="32.25" customHeight="1" x14ac:dyDescent="0.25">
      <c r="B73" s="367"/>
      <c r="C73" s="367"/>
      <c r="D73" s="367"/>
      <c r="E73" s="367"/>
      <c r="F73" s="367"/>
      <c r="G73" s="367"/>
      <c r="H73" s="367"/>
      <c r="I73" s="367"/>
      <c r="J73" s="35"/>
      <c r="K73" s="35"/>
    </row>
    <row r="74" spans="1:28" ht="51.75" customHeight="1" x14ac:dyDescent="0.25">
      <c r="B74" s="367"/>
      <c r="C74" s="367"/>
      <c r="D74" s="367"/>
      <c r="E74" s="367"/>
      <c r="F74" s="367"/>
      <c r="G74" s="367"/>
      <c r="H74" s="367"/>
      <c r="I74" s="367"/>
      <c r="J74" s="35"/>
      <c r="K74" s="35"/>
    </row>
    <row r="75" spans="1:28" ht="21.75" customHeight="1" x14ac:dyDescent="0.25">
      <c r="B75" s="373"/>
      <c r="C75" s="373"/>
      <c r="D75" s="373"/>
      <c r="E75" s="373"/>
      <c r="F75" s="373"/>
      <c r="G75" s="373"/>
      <c r="H75" s="373"/>
      <c r="I75" s="373"/>
      <c r="J75" s="34"/>
      <c r="K75" s="34"/>
    </row>
    <row r="76" spans="1:28" ht="23.25" customHeight="1" x14ac:dyDescent="0.25"/>
    <row r="77" spans="1:28" ht="18.75" customHeight="1" x14ac:dyDescent="0.25">
      <c r="B77" s="366"/>
      <c r="C77" s="366"/>
      <c r="D77" s="366"/>
      <c r="E77" s="366"/>
      <c r="F77" s="366"/>
      <c r="G77" s="366"/>
      <c r="H77" s="366"/>
      <c r="I77" s="366"/>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C24:J64">
    <cfRule type="cellIs" dxfId="13" priority="6" operator="notEqual">
      <formula>0</formula>
    </cfRule>
  </conditionalFormatting>
  <conditionalFormatting sqref="E31:I44 K58:M64 O58:Q64">
    <cfRule type="cellIs" dxfId="12" priority="24" operator="notEqual">
      <formula>0</formula>
    </cfRule>
  </conditionalFormatting>
  <conditionalFormatting sqref="K24:M51">
    <cfRule type="cellIs" dxfId="11" priority="17" operator="notEqual">
      <formula>0</formula>
    </cfRule>
  </conditionalFormatting>
  <conditionalFormatting sqref="K52:Q57">
    <cfRule type="cellIs" dxfId="10" priority="13" operator="notEqual">
      <formula>0</formula>
    </cfRule>
  </conditionalFormatting>
  <conditionalFormatting sqref="N24:N64">
    <cfRule type="cellIs" dxfId="9" priority="2" operator="notEqual">
      <formula>0</formula>
    </cfRule>
  </conditionalFormatting>
  <conditionalFormatting sqref="O31:Q51">
    <cfRule type="cellIs" dxfId="8" priority="1" operator="notEqual">
      <formula>0</formula>
    </cfRule>
  </conditionalFormatting>
  <conditionalFormatting sqref="O24:Y30">
    <cfRule type="cellIs" dxfId="7" priority="23" operator="notEqual">
      <formula>0</formula>
    </cfRule>
  </conditionalFormatting>
  <conditionalFormatting sqref="R31:Y64">
    <cfRule type="cellIs" dxfId="6" priority="26" operator="notEqual">
      <formula>0</formula>
    </cfRule>
  </conditionalFormatting>
  <conditionalFormatting sqref="Z24:AC64">
    <cfRule type="cellIs" dxfId="5" priority="5"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F77"/>
  <sheetViews>
    <sheetView zoomScale="70" zoomScaleNormal="70" zoomScaleSheetLayoutView="70" workbookViewId="0">
      <selection activeCell="W23" sqref="W23"/>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15.5703125" style="32" customWidth="1"/>
    <col min="6" max="6" width="15.28515625" style="32" customWidth="1"/>
    <col min="7" max="7" width="17.85546875" style="32" customWidth="1"/>
    <col min="8" max="15" width="9.28515625" style="32" customWidth="1"/>
    <col min="16" max="17" width="8" style="32" customWidth="1"/>
    <col min="18" max="19" width="8.5703125" style="32" customWidth="1"/>
    <col min="20" max="21" width="8" style="32" customWidth="1"/>
    <col min="22" max="23" width="8.5703125" style="32" customWidth="1"/>
    <col min="24" max="25" width="10.7109375" style="32" customWidth="1"/>
    <col min="26" max="27" width="8.5703125" style="32" customWidth="1"/>
    <col min="28" max="28" width="13.140625" style="32" customWidth="1"/>
    <col min="29" max="29" width="18.5703125" style="32" customWidth="1"/>
    <col min="30"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302" t="str">
        <f>'6.1. Паспорт сетевой график'!A5:K5</f>
        <v>Год раскрытия информации: 2024  год</v>
      </c>
      <c r="B4" s="302"/>
      <c r="C4" s="302"/>
      <c r="D4" s="302"/>
      <c r="E4" s="302"/>
      <c r="F4" s="302"/>
      <c r="G4" s="302"/>
      <c r="H4" s="302"/>
      <c r="I4" s="302"/>
      <c r="J4" s="302"/>
      <c r="K4" s="302"/>
      <c r="L4" s="302"/>
      <c r="M4" s="302"/>
      <c r="N4" s="302"/>
      <c r="O4" s="302"/>
      <c r="P4" s="302"/>
      <c r="Q4" s="302"/>
      <c r="R4" s="302"/>
      <c r="S4" s="302"/>
      <c r="T4" s="302"/>
      <c r="U4" s="302"/>
      <c r="V4" s="302"/>
      <c r="W4" s="302"/>
      <c r="X4" s="302"/>
      <c r="Y4" s="302"/>
      <c r="Z4" s="302"/>
      <c r="AA4" s="302"/>
      <c r="AB4" s="302"/>
      <c r="AC4" s="302"/>
    </row>
    <row r="5" spans="1:29" ht="18.75" x14ac:dyDescent="0.3">
      <c r="AC5" s="12"/>
    </row>
    <row r="6" spans="1:29" ht="18.75" x14ac:dyDescent="0.25">
      <c r="A6" s="311" t="s">
        <v>7</v>
      </c>
      <c r="B6" s="311"/>
      <c r="C6" s="311"/>
      <c r="D6" s="311"/>
      <c r="E6" s="311"/>
      <c r="F6" s="311"/>
      <c r="G6" s="311"/>
      <c r="H6" s="311"/>
      <c r="I6" s="311"/>
      <c r="J6" s="311"/>
      <c r="K6" s="311"/>
      <c r="L6" s="311"/>
      <c r="M6" s="311"/>
      <c r="N6" s="311"/>
      <c r="O6" s="311"/>
      <c r="P6" s="311"/>
      <c r="Q6" s="311"/>
      <c r="R6" s="311"/>
      <c r="S6" s="311"/>
      <c r="T6" s="311"/>
      <c r="U6" s="311"/>
      <c r="V6" s="311"/>
      <c r="W6" s="311"/>
      <c r="X6" s="311"/>
      <c r="Y6" s="311"/>
      <c r="Z6" s="311"/>
      <c r="AA6" s="311"/>
      <c r="AB6" s="311"/>
      <c r="AC6" s="311"/>
    </row>
    <row r="7" spans="1:29" ht="18.75" x14ac:dyDescent="0.25">
      <c r="A7" s="108"/>
      <c r="B7" s="108"/>
      <c r="C7" s="108"/>
      <c r="D7" s="108"/>
      <c r="E7" s="108"/>
      <c r="F7" s="108"/>
      <c r="G7" s="108"/>
      <c r="H7" s="168"/>
      <c r="I7" s="168"/>
      <c r="J7" s="168"/>
      <c r="K7" s="168"/>
      <c r="L7" s="168"/>
      <c r="M7" s="168"/>
      <c r="N7" s="168"/>
      <c r="O7" s="168"/>
      <c r="P7" s="168"/>
      <c r="Q7" s="168"/>
      <c r="R7" s="168"/>
      <c r="S7" s="168"/>
      <c r="T7" s="168"/>
      <c r="U7" s="168"/>
      <c r="V7" s="168"/>
      <c r="W7" s="168"/>
      <c r="X7" s="168"/>
      <c r="Y7" s="168"/>
      <c r="Z7" s="168"/>
      <c r="AA7" s="168"/>
      <c r="AB7" s="168"/>
      <c r="AC7" s="168"/>
    </row>
    <row r="8" spans="1:29" x14ac:dyDescent="0.25">
      <c r="A8" s="309" t="str">
        <f>'6.1. Паспорт сетевой график'!A9</f>
        <v xml:space="preserve">Акционерное общество "Западная энергетическая компания" </v>
      </c>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309"/>
      <c r="AB8" s="309"/>
      <c r="AC8" s="309"/>
    </row>
    <row r="9" spans="1:29" ht="18.75" customHeight="1" x14ac:dyDescent="0.25">
      <c r="A9" s="315" t="s">
        <v>6</v>
      </c>
      <c r="B9" s="315"/>
      <c r="C9" s="315"/>
      <c r="D9" s="315"/>
      <c r="E9" s="315"/>
      <c r="F9" s="315"/>
      <c r="G9" s="315"/>
      <c r="H9" s="315"/>
      <c r="I9" s="315"/>
      <c r="J9" s="315"/>
      <c r="K9" s="315"/>
      <c r="L9" s="315"/>
      <c r="M9" s="315"/>
      <c r="N9" s="315"/>
      <c r="O9" s="315"/>
      <c r="P9" s="315"/>
      <c r="Q9" s="315"/>
      <c r="R9" s="315"/>
      <c r="S9" s="315"/>
      <c r="T9" s="315"/>
      <c r="U9" s="315"/>
      <c r="V9" s="315"/>
      <c r="W9" s="315"/>
      <c r="X9" s="315"/>
      <c r="Y9" s="315"/>
      <c r="Z9" s="315"/>
      <c r="AA9" s="315"/>
      <c r="AB9" s="315"/>
      <c r="AC9" s="315"/>
    </row>
    <row r="10" spans="1:29" ht="18.75" x14ac:dyDescent="0.25">
      <c r="A10" s="108"/>
      <c r="B10" s="108"/>
      <c r="C10" s="108"/>
      <c r="D10" s="108"/>
      <c r="E10" s="108"/>
      <c r="F10" s="108"/>
      <c r="G10" s="108"/>
      <c r="H10" s="168"/>
      <c r="I10" s="168"/>
      <c r="J10" s="168"/>
      <c r="K10" s="168"/>
      <c r="L10" s="168"/>
      <c r="M10" s="168"/>
      <c r="N10" s="168"/>
      <c r="O10" s="168"/>
      <c r="P10" s="168"/>
      <c r="Q10" s="168"/>
      <c r="R10" s="168"/>
      <c r="S10" s="168"/>
      <c r="T10" s="168"/>
      <c r="U10" s="168"/>
      <c r="V10" s="168"/>
      <c r="W10" s="168"/>
      <c r="X10" s="168"/>
      <c r="Y10" s="168"/>
      <c r="Z10" s="168"/>
      <c r="AA10" s="168"/>
      <c r="AB10" s="168"/>
      <c r="AC10" s="168"/>
    </row>
    <row r="11" spans="1:29" x14ac:dyDescent="0.25">
      <c r="A11" s="309" t="str">
        <f>'6.1. Паспорт сетевой график'!A12</f>
        <v>J 19-09</v>
      </c>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309"/>
      <c r="AB11" s="309"/>
      <c r="AC11" s="309"/>
    </row>
    <row r="12" spans="1:29" x14ac:dyDescent="0.25">
      <c r="A12" s="315" t="s">
        <v>5</v>
      </c>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315"/>
      <c r="AB12" s="315"/>
      <c r="AC12" s="315"/>
    </row>
    <row r="13" spans="1:29" ht="16.5" customHeight="1" x14ac:dyDescent="0.3">
      <c r="A13" s="125"/>
      <c r="B13" s="125"/>
      <c r="C13" s="125"/>
      <c r="D13" s="125"/>
      <c r="E13" s="125"/>
      <c r="F13" s="125"/>
      <c r="G13" s="125"/>
      <c r="H13" s="50"/>
      <c r="I13" s="50"/>
      <c r="J13" s="50"/>
      <c r="K13" s="50"/>
      <c r="L13" s="50"/>
      <c r="M13" s="50"/>
      <c r="N13" s="50"/>
      <c r="O13" s="50"/>
      <c r="P13" s="50"/>
      <c r="Q13" s="50"/>
      <c r="R13" s="50"/>
      <c r="S13" s="50"/>
      <c r="T13" s="50"/>
      <c r="U13" s="50"/>
      <c r="V13" s="50"/>
      <c r="W13" s="50"/>
      <c r="X13" s="50"/>
      <c r="Y13" s="50"/>
      <c r="Z13" s="50"/>
      <c r="AA13" s="50"/>
      <c r="AB13" s="50"/>
      <c r="AC13" s="50"/>
    </row>
    <row r="14" spans="1:29" ht="36" customHeight="1" x14ac:dyDescent="0.25">
      <c r="A14" s="335" t="str">
        <f>'6.1. Паспорт сетевой график'!A15</f>
        <v>Реконструкция ТП 15/6/0,4кВ  ТП-5 с заменой ячеек КРУ 15кВ с  маслянными выключателями SCI-20 ячейки  на КРУ-15кВ с вакуумными выключателями 9 шт., заменой ячеек КРУ 6 кВ с воздушными выключателями нагрузки на КРУ  с элегазовыми выключателями нагрузки;  с установкой 2-го трансформатора 15 кВ мощностью 0,8 МВА,с приростом мощности на 0,8 МВА; заменой трансформатора 6 кВ мощностью 0,18 МВА  на 0,25 МВА, с приростом мощности 0,07 МВА, в п.Северный, Багратионовского р-на</v>
      </c>
      <c r="B14" s="335"/>
      <c r="C14" s="335"/>
      <c r="D14" s="335"/>
      <c r="E14" s="335"/>
      <c r="F14" s="335"/>
      <c r="G14" s="335"/>
      <c r="H14" s="335"/>
      <c r="I14" s="335"/>
      <c r="J14" s="335"/>
      <c r="K14" s="335"/>
      <c r="L14" s="335"/>
      <c r="M14" s="335"/>
      <c r="N14" s="335"/>
      <c r="O14" s="335"/>
      <c r="P14" s="335"/>
      <c r="Q14" s="335"/>
      <c r="R14" s="335"/>
      <c r="S14" s="335"/>
      <c r="T14" s="335"/>
      <c r="U14" s="335"/>
      <c r="V14" s="335"/>
      <c r="W14" s="335"/>
      <c r="X14" s="335"/>
      <c r="Y14" s="335"/>
      <c r="Z14" s="335"/>
      <c r="AA14" s="335"/>
      <c r="AB14" s="335"/>
      <c r="AC14" s="335"/>
    </row>
    <row r="15" spans="1:29" ht="15.75" customHeight="1" x14ac:dyDescent="0.25">
      <c r="A15" s="315" t="s">
        <v>4</v>
      </c>
      <c r="B15" s="315"/>
      <c r="C15" s="315"/>
      <c r="D15" s="315"/>
      <c r="E15" s="315"/>
      <c r="F15" s="315"/>
      <c r="G15" s="315"/>
      <c r="H15" s="315"/>
      <c r="I15" s="315"/>
      <c r="J15" s="315"/>
      <c r="K15" s="315"/>
      <c r="L15" s="315"/>
      <c r="M15" s="315"/>
      <c r="N15" s="315"/>
      <c r="O15" s="315"/>
      <c r="P15" s="315"/>
      <c r="Q15" s="315"/>
      <c r="R15" s="315"/>
      <c r="S15" s="315"/>
      <c r="T15" s="315"/>
      <c r="U15" s="315"/>
      <c r="V15" s="315"/>
      <c r="W15" s="315"/>
      <c r="X15" s="315"/>
      <c r="Y15" s="315"/>
      <c r="Z15" s="315"/>
      <c r="AA15" s="315"/>
      <c r="AB15" s="315"/>
      <c r="AC15" s="315"/>
    </row>
    <row r="16" spans="1:29" x14ac:dyDescent="0.25">
      <c r="A16" s="377"/>
      <c r="B16" s="377"/>
      <c r="C16" s="377"/>
      <c r="D16" s="377"/>
      <c r="E16" s="377"/>
      <c r="F16" s="377"/>
      <c r="G16" s="377"/>
      <c r="H16" s="377"/>
      <c r="I16" s="377"/>
      <c r="J16" s="377"/>
      <c r="K16" s="377"/>
      <c r="L16" s="377"/>
      <c r="M16" s="377"/>
      <c r="N16" s="377"/>
      <c r="O16" s="377"/>
      <c r="P16" s="377"/>
      <c r="Q16" s="377"/>
      <c r="R16" s="377"/>
      <c r="S16" s="377"/>
      <c r="T16" s="377"/>
      <c r="U16" s="377"/>
      <c r="V16" s="377"/>
      <c r="W16" s="377"/>
      <c r="X16" s="377"/>
      <c r="Y16" s="377"/>
      <c r="Z16" s="377"/>
      <c r="AA16" s="377"/>
      <c r="AB16" s="377"/>
      <c r="AC16" s="377"/>
    </row>
    <row r="18" spans="1:32" x14ac:dyDescent="0.25">
      <c r="A18" s="379" t="s">
        <v>394</v>
      </c>
      <c r="B18" s="379"/>
      <c r="C18" s="379"/>
      <c r="D18" s="379"/>
      <c r="E18" s="379"/>
      <c r="F18" s="379"/>
      <c r="G18" s="379"/>
      <c r="H18" s="379"/>
      <c r="I18" s="379"/>
      <c r="J18" s="379"/>
      <c r="K18" s="379"/>
      <c r="L18" s="379"/>
      <c r="M18" s="379"/>
      <c r="N18" s="379"/>
      <c r="O18" s="379"/>
      <c r="P18" s="379"/>
      <c r="Q18" s="379"/>
      <c r="R18" s="379"/>
      <c r="S18" s="379"/>
      <c r="T18" s="379"/>
      <c r="U18" s="379"/>
      <c r="V18" s="379"/>
      <c r="W18" s="379"/>
      <c r="X18" s="379"/>
      <c r="Y18" s="379"/>
      <c r="Z18" s="379"/>
      <c r="AA18" s="379"/>
      <c r="AB18" s="379"/>
      <c r="AC18" s="379"/>
    </row>
    <row r="19" spans="1:32" ht="49.5" hidden="1" customHeight="1" x14ac:dyDescent="0.25">
      <c r="E19" s="48" t="s">
        <v>551</v>
      </c>
      <c r="F19" s="48" t="s">
        <v>552</v>
      </c>
      <c r="G19" s="48" t="s">
        <v>553</v>
      </c>
      <c r="H19" s="32" t="s">
        <v>554</v>
      </c>
      <c r="L19" s="32" t="s">
        <v>555</v>
      </c>
      <c r="P19" s="32" t="s">
        <v>556</v>
      </c>
    </row>
    <row r="20" spans="1:32" ht="33" customHeight="1" x14ac:dyDescent="0.25">
      <c r="A20" s="368" t="s">
        <v>183</v>
      </c>
      <c r="B20" s="368" t="s">
        <v>182</v>
      </c>
      <c r="C20" s="364" t="s">
        <v>181</v>
      </c>
      <c r="D20" s="364"/>
      <c r="E20" s="378" t="s">
        <v>180</v>
      </c>
      <c r="F20" s="378"/>
      <c r="G20" s="368" t="s">
        <v>633</v>
      </c>
      <c r="H20" s="371">
        <v>2025</v>
      </c>
      <c r="I20" s="372"/>
      <c r="J20" s="372"/>
      <c r="K20" s="381"/>
      <c r="L20" s="371">
        <v>2026</v>
      </c>
      <c r="M20" s="372"/>
      <c r="N20" s="372"/>
      <c r="O20" s="381"/>
      <c r="P20" s="371">
        <v>2027</v>
      </c>
      <c r="Q20" s="372"/>
      <c r="R20" s="372"/>
      <c r="S20" s="381"/>
      <c r="T20" s="371">
        <v>2028</v>
      </c>
      <c r="U20" s="372"/>
      <c r="V20" s="372"/>
      <c r="W20" s="381"/>
      <c r="X20" s="371">
        <v>2029</v>
      </c>
      <c r="Y20" s="372"/>
      <c r="Z20" s="372"/>
      <c r="AA20" s="372"/>
      <c r="AB20" s="380" t="s">
        <v>179</v>
      </c>
      <c r="AC20" s="380"/>
      <c r="AD20" s="49"/>
      <c r="AE20" s="49"/>
      <c r="AF20" s="49"/>
    </row>
    <row r="21" spans="1:32" ht="99.75" customHeight="1" x14ac:dyDescent="0.25">
      <c r="A21" s="369"/>
      <c r="B21" s="369"/>
      <c r="C21" s="364"/>
      <c r="D21" s="364"/>
      <c r="E21" s="378"/>
      <c r="F21" s="378"/>
      <c r="G21" s="369"/>
      <c r="H21" s="364" t="s">
        <v>2</v>
      </c>
      <c r="I21" s="364"/>
      <c r="J21" s="364" t="s">
        <v>178</v>
      </c>
      <c r="K21" s="364"/>
      <c r="L21" s="364" t="s">
        <v>2</v>
      </c>
      <c r="M21" s="364"/>
      <c r="N21" s="364" t="s">
        <v>178</v>
      </c>
      <c r="O21" s="364"/>
      <c r="P21" s="364" t="s">
        <v>2</v>
      </c>
      <c r="Q21" s="364"/>
      <c r="R21" s="364" t="s">
        <v>178</v>
      </c>
      <c r="S21" s="364"/>
      <c r="T21" s="364" t="s">
        <v>2</v>
      </c>
      <c r="U21" s="364"/>
      <c r="V21" s="364" t="s">
        <v>178</v>
      </c>
      <c r="W21" s="364"/>
      <c r="X21" s="364" t="s">
        <v>2</v>
      </c>
      <c r="Y21" s="364"/>
      <c r="Z21" s="364" t="s">
        <v>178</v>
      </c>
      <c r="AA21" s="364"/>
      <c r="AB21" s="380"/>
      <c r="AC21" s="380"/>
    </row>
    <row r="22" spans="1:32" ht="89.25" customHeight="1" x14ac:dyDescent="0.25">
      <c r="A22" s="370"/>
      <c r="B22" s="370"/>
      <c r="C22" s="46" t="s">
        <v>2</v>
      </c>
      <c r="D22" s="46" t="s">
        <v>178</v>
      </c>
      <c r="E22" s="48" t="s">
        <v>628</v>
      </c>
      <c r="F22" s="48" t="s">
        <v>628</v>
      </c>
      <c r="G22" s="370"/>
      <c r="H22" s="47" t="s">
        <v>375</v>
      </c>
      <c r="I22" s="47" t="s">
        <v>376</v>
      </c>
      <c r="J22" s="47" t="s">
        <v>375</v>
      </c>
      <c r="K22" s="47" t="s">
        <v>376</v>
      </c>
      <c r="L22" s="47" t="s">
        <v>375</v>
      </c>
      <c r="M22" s="47" t="s">
        <v>376</v>
      </c>
      <c r="N22" s="47" t="s">
        <v>375</v>
      </c>
      <c r="O22" s="47" t="s">
        <v>376</v>
      </c>
      <c r="P22" s="47" t="s">
        <v>375</v>
      </c>
      <c r="Q22" s="47" t="s">
        <v>376</v>
      </c>
      <c r="R22" s="47" t="s">
        <v>375</v>
      </c>
      <c r="S22" s="47" t="s">
        <v>376</v>
      </c>
      <c r="T22" s="47" t="s">
        <v>375</v>
      </c>
      <c r="U22" s="47" t="s">
        <v>376</v>
      </c>
      <c r="V22" s="47" t="s">
        <v>375</v>
      </c>
      <c r="W22" s="47" t="s">
        <v>376</v>
      </c>
      <c r="X22" s="47" t="s">
        <v>375</v>
      </c>
      <c r="Y22" s="47" t="s">
        <v>376</v>
      </c>
      <c r="Z22" s="47" t="s">
        <v>375</v>
      </c>
      <c r="AA22" s="47" t="s">
        <v>376</v>
      </c>
      <c r="AB22" s="46" t="s">
        <v>577</v>
      </c>
      <c r="AC22" s="46" t="s">
        <v>538</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20</v>
      </c>
      <c r="U23" s="39">
        <v>21</v>
      </c>
      <c r="V23" s="39">
        <v>22</v>
      </c>
      <c r="W23" s="39">
        <v>23</v>
      </c>
      <c r="X23" s="39">
        <v>24</v>
      </c>
      <c r="Y23" s="39">
        <v>25</v>
      </c>
      <c r="Z23" s="39">
        <v>26</v>
      </c>
      <c r="AA23" s="39">
        <v>27</v>
      </c>
      <c r="AB23" s="39">
        <v>28</v>
      </c>
      <c r="AC23" s="39">
        <v>29</v>
      </c>
    </row>
    <row r="24" spans="1:32" ht="47.25" customHeight="1" x14ac:dyDescent="0.25">
      <c r="A24" s="44">
        <v>1</v>
      </c>
      <c r="B24" s="43" t="s">
        <v>177</v>
      </c>
      <c r="C24" s="97">
        <f>C30*1.2</f>
        <v>22.597621746948949</v>
      </c>
      <c r="D24" s="97">
        <f>D30*1.2</f>
        <v>22.597621746948949</v>
      </c>
      <c r="E24" s="97">
        <v>12.097621746948949</v>
      </c>
      <c r="F24" s="97">
        <v>12.097621746948949</v>
      </c>
      <c r="G24" s="97">
        <v>12.097621746948949</v>
      </c>
      <c r="H24" s="97">
        <v>0</v>
      </c>
      <c r="I24" s="97">
        <f>SUM(I25:I29)</f>
        <v>0</v>
      </c>
      <c r="J24" s="99" t="s">
        <v>539</v>
      </c>
      <c r="K24" s="99" t="s">
        <v>539</v>
      </c>
      <c r="L24" s="97">
        <v>0</v>
      </c>
      <c r="M24" s="97">
        <f t="shared" ref="M24:Y24" si="0">SUM(M25:M29)</f>
        <v>0</v>
      </c>
      <c r="N24" s="97" t="s">
        <v>539</v>
      </c>
      <c r="O24" s="97" t="s">
        <v>539</v>
      </c>
      <c r="P24" s="97">
        <v>0</v>
      </c>
      <c r="Q24" s="97">
        <f t="shared" si="0"/>
        <v>0</v>
      </c>
      <c r="R24" s="99" t="s">
        <v>539</v>
      </c>
      <c r="S24" s="99" t="s">
        <v>539</v>
      </c>
      <c r="T24" s="97">
        <v>0</v>
      </c>
      <c r="U24" s="97">
        <f t="shared" si="0"/>
        <v>0</v>
      </c>
      <c r="V24" s="97" t="s">
        <v>539</v>
      </c>
      <c r="W24" s="97" t="s">
        <v>539</v>
      </c>
      <c r="X24" s="97">
        <v>0</v>
      </c>
      <c r="Y24" s="97">
        <f t="shared" si="0"/>
        <v>0</v>
      </c>
      <c r="Z24" s="97" t="s">
        <v>539</v>
      </c>
      <c r="AA24" s="97" t="s">
        <v>539</v>
      </c>
      <c r="AB24" s="97">
        <f>H24+L24+P24+T24+X24</f>
        <v>0</v>
      </c>
      <c r="AC24" s="97" t="s">
        <v>539</v>
      </c>
    </row>
    <row r="25" spans="1:32" ht="24" customHeight="1" x14ac:dyDescent="0.25">
      <c r="A25" s="41" t="s">
        <v>176</v>
      </c>
      <c r="B25" s="25" t="s">
        <v>175</v>
      </c>
      <c r="C25" s="97">
        <v>0</v>
      </c>
      <c r="D25" s="97">
        <v>0</v>
      </c>
      <c r="E25" s="97">
        <v>0</v>
      </c>
      <c r="F25" s="99">
        <v>0</v>
      </c>
      <c r="G25" s="99">
        <v>0</v>
      </c>
      <c r="H25" s="99">
        <f>C25</f>
        <v>0</v>
      </c>
      <c r="I25" s="99">
        <v>0</v>
      </c>
      <c r="J25" s="99" t="s">
        <v>539</v>
      </c>
      <c r="K25" s="99" t="s">
        <v>539</v>
      </c>
      <c r="L25" s="99">
        <f>'6.2. Паспорт фин осв ввод факт'!X25</f>
        <v>0</v>
      </c>
      <c r="M25" s="99">
        <v>0</v>
      </c>
      <c r="N25" s="99" t="s">
        <v>539</v>
      </c>
      <c r="O25" s="99" t="s">
        <v>539</v>
      </c>
      <c r="P25" s="97">
        <v>0</v>
      </c>
      <c r="Q25" s="99">
        <v>0</v>
      </c>
      <c r="R25" s="99" t="s">
        <v>539</v>
      </c>
      <c r="S25" s="99" t="s">
        <v>539</v>
      </c>
      <c r="T25" s="97">
        <v>0</v>
      </c>
      <c r="U25" s="99">
        <v>0</v>
      </c>
      <c r="V25" s="99" t="s">
        <v>539</v>
      </c>
      <c r="W25" s="99" t="s">
        <v>539</v>
      </c>
      <c r="X25" s="99">
        <v>0</v>
      </c>
      <c r="Y25" s="99">
        <v>0</v>
      </c>
      <c r="Z25" s="99" t="s">
        <v>539</v>
      </c>
      <c r="AA25" s="99" t="s">
        <v>539</v>
      </c>
      <c r="AB25" s="97">
        <f t="shared" ref="AB25:AB64" si="1">H25+L25+P25+T25+X25</f>
        <v>0</v>
      </c>
      <c r="AC25" s="97" t="s">
        <v>539</v>
      </c>
    </row>
    <row r="26" spans="1:32" x14ac:dyDescent="0.25">
      <c r="A26" s="41" t="s">
        <v>174</v>
      </c>
      <c r="B26" s="25" t="s">
        <v>173</v>
      </c>
      <c r="C26" s="97">
        <v>0</v>
      </c>
      <c r="D26" s="97">
        <v>0</v>
      </c>
      <c r="E26" s="97">
        <v>0</v>
      </c>
      <c r="F26" s="99">
        <v>0</v>
      </c>
      <c r="G26" s="99">
        <v>0</v>
      </c>
      <c r="H26" s="99">
        <f>C26</f>
        <v>0</v>
      </c>
      <c r="I26" s="99">
        <v>0</v>
      </c>
      <c r="J26" s="99" t="s">
        <v>539</v>
      </c>
      <c r="K26" s="99" t="s">
        <v>539</v>
      </c>
      <c r="L26" s="99">
        <f>'6.2. Паспорт фин осв ввод факт'!X26</f>
        <v>0</v>
      </c>
      <c r="M26" s="99">
        <v>0</v>
      </c>
      <c r="N26" s="99" t="s">
        <v>539</v>
      </c>
      <c r="O26" s="99" t="s">
        <v>539</v>
      </c>
      <c r="P26" s="97">
        <v>0</v>
      </c>
      <c r="Q26" s="99">
        <v>0</v>
      </c>
      <c r="R26" s="99" t="s">
        <v>539</v>
      </c>
      <c r="S26" s="99" t="s">
        <v>539</v>
      </c>
      <c r="T26" s="97">
        <v>0</v>
      </c>
      <c r="U26" s="99">
        <v>0</v>
      </c>
      <c r="V26" s="99" t="s">
        <v>539</v>
      </c>
      <c r="W26" s="99" t="s">
        <v>539</v>
      </c>
      <c r="X26" s="99">
        <v>0</v>
      </c>
      <c r="Y26" s="99">
        <v>0</v>
      </c>
      <c r="Z26" s="99" t="s">
        <v>539</v>
      </c>
      <c r="AA26" s="99" t="s">
        <v>539</v>
      </c>
      <c r="AB26" s="97">
        <f t="shared" si="1"/>
        <v>0</v>
      </c>
      <c r="AC26" s="97" t="s">
        <v>539</v>
      </c>
    </row>
    <row r="27" spans="1:32" ht="31.5" x14ac:dyDescent="0.25">
      <c r="A27" s="41" t="s">
        <v>172</v>
      </c>
      <c r="B27" s="25" t="s">
        <v>357</v>
      </c>
      <c r="C27" s="97">
        <f>C24</f>
        <v>22.597621746948949</v>
      </c>
      <c r="D27" s="97">
        <f>D24</f>
        <v>22.597621746948949</v>
      </c>
      <c r="E27" s="97">
        <v>12.097621746948949</v>
      </c>
      <c r="F27" s="99">
        <v>12.097621746948949</v>
      </c>
      <c r="G27" s="99">
        <v>12.097621746948949</v>
      </c>
      <c r="H27" s="99">
        <v>0</v>
      </c>
      <c r="I27" s="99">
        <v>0</v>
      </c>
      <c r="J27" s="99" t="s">
        <v>539</v>
      </c>
      <c r="K27" s="99" t="s">
        <v>539</v>
      </c>
      <c r="L27" s="99">
        <v>0</v>
      </c>
      <c r="M27" s="99">
        <v>0</v>
      </c>
      <c r="N27" s="99" t="s">
        <v>539</v>
      </c>
      <c r="O27" s="99" t="s">
        <v>539</v>
      </c>
      <c r="P27" s="97">
        <v>0</v>
      </c>
      <c r="Q27" s="99">
        <v>0</v>
      </c>
      <c r="R27" s="99" t="s">
        <v>539</v>
      </c>
      <c r="S27" s="99" t="s">
        <v>539</v>
      </c>
      <c r="T27" s="97">
        <v>0</v>
      </c>
      <c r="U27" s="99">
        <v>0</v>
      </c>
      <c r="V27" s="99" t="s">
        <v>539</v>
      </c>
      <c r="W27" s="99" t="s">
        <v>539</v>
      </c>
      <c r="X27" s="99">
        <v>0</v>
      </c>
      <c r="Y27" s="99">
        <v>0</v>
      </c>
      <c r="Z27" s="99" t="s">
        <v>539</v>
      </c>
      <c r="AA27" s="99" t="s">
        <v>539</v>
      </c>
      <c r="AB27" s="97">
        <f t="shared" si="1"/>
        <v>0</v>
      </c>
      <c r="AC27" s="97" t="s">
        <v>539</v>
      </c>
    </row>
    <row r="28" spans="1:32" x14ac:dyDescent="0.25">
      <c r="A28" s="41" t="s">
        <v>171</v>
      </c>
      <c r="B28" s="25" t="s">
        <v>540</v>
      </c>
      <c r="C28" s="97">
        <v>0</v>
      </c>
      <c r="D28" s="97">
        <v>0</v>
      </c>
      <c r="E28" s="97">
        <v>0</v>
      </c>
      <c r="F28" s="99">
        <v>0</v>
      </c>
      <c r="G28" s="99">
        <v>0</v>
      </c>
      <c r="H28" s="99">
        <v>0</v>
      </c>
      <c r="I28" s="99">
        <v>0</v>
      </c>
      <c r="J28" s="99" t="s">
        <v>539</v>
      </c>
      <c r="K28" s="99" t="s">
        <v>539</v>
      </c>
      <c r="L28" s="99">
        <v>0</v>
      </c>
      <c r="M28" s="99">
        <v>0</v>
      </c>
      <c r="N28" s="99" t="s">
        <v>539</v>
      </c>
      <c r="O28" s="99" t="s">
        <v>539</v>
      </c>
      <c r="P28" s="97">
        <v>0</v>
      </c>
      <c r="Q28" s="99">
        <v>0</v>
      </c>
      <c r="R28" s="99" t="s">
        <v>539</v>
      </c>
      <c r="S28" s="99" t="s">
        <v>539</v>
      </c>
      <c r="T28" s="97">
        <v>0</v>
      </c>
      <c r="U28" s="99">
        <v>0</v>
      </c>
      <c r="V28" s="99" t="s">
        <v>539</v>
      </c>
      <c r="W28" s="99" t="s">
        <v>539</v>
      </c>
      <c r="X28" s="99">
        <v>0</v>
      </c>
      <c r="Y28" s="99">
        <v>0</v>
      </c>
      <c r="Z28" s="99" t="s">
        <v>539</v>
      </c>
      <c r="AA28" s="99" t="s">
        <v>539</v>
      </c>
      <c r="AB28" s="97">
        <f t="shared" si="1"/>
        <v>0</v>
      </c>
      <c r="AC28" s="97" t="s">
        <v>539</v>
      </c>
    </row>
    <row r="29" spans="1:32" x14ac:dyDescent="0.25">
      <c r="A29" s="41" t="s">
        <v>169</v>
      </c>
      <c r="B29" s="45" t="s">
        <v>168</v>
      </c>
      <c r="C29" s="97">
        <v>0</v>
      </c>
      <c r="D29" s="97">
        <v>0</v>
      </c>
      <c r="E29" s="97">
        <v>0</v>
      </c>
      <c r="F29" s="99">
        <v>0</v>
      </c>
      <c r="G29" s="99">
        <v>0</v>
      </c>
      <c r="H29" s="99">
        <f>'6.2. Паспорт фин осв ввод факт'!T29</f>
        <v>0</v>
      </c>
      <c r="I29" s="99">
        <v>0</v>
      </c>
      <c r="J29" s="99" t="s">
        <v>539</v>
      </c>
      <c r="K29" s="99" t="s">
        <v>539</v>
      </c>
      <c r="L29" s="99">
        <f>'6.2. Паспорт фин осв ввод факт'!X29</f>
        <v>0</v>
      </c>
      <c r="M29" s="99">
        <v>0</v>
      </c>
      <c r="N29" s="99" t="s">
        <v>539</v>
      </c>
      <c r="O29" s="99" t="s">
        <v>539</v>
      </c>
      <c r="P29" s="99">
        <v>0</v>
      </c>
      <c r="Q29" s="99">
        <v>0</v>
      </c>
      <c r="R29" s="99" t="s">
        <v>539</v>
      </c>
      <c r="S29" s="99" t="s">
        <v>539</v>
      </c>
      <c r="T29" s="97">
        <v>0</v>
      </c>
      <c r="U29" s="99">
        <v>0</v>
      </c>
      <c r="V29" s="99" t="s">
        <v>539</v>
      </c>
      <c r="W29" s="99" t="s">
        <v>539</v>
      </c>
      <c r="X29" s="99">
        <v>0</v>
      </c>
      <c r="Y29" s="99">
        <v>0</v>
      </c>
      <c r="Z29" s="99" t="s">
        <v>539</v>
      </c>
      <c r="AA29" s="99" t="s">
        <v>539</v>
      </c>
      <c r="AB29" s="97">
        <f t="shared" si="1"/>
        <v>0</v>
      </c>
      <c r="AC29" s="97" t="s">
        <v>539</v>
      </c>
    </row>
    <row r="30" spans="1:32" s="291" customFormat="1" ht="47.25" x14ac:dyDescent="0.25">
      <c r="A30" s="44" t="s">
        <v>61</v>
      </c>
      <c r="B30" s="43" t="s">
        <v>167</v>
      </c>
      <c r="C30" s="97">
        <f>SUM(C31:C34)</f>
        <v>18.831351455790792</v>
      </c>
      <c r="D30" s="97">
        <f>SUM(D31:D34)</f>
        <v>18.831351455790792</v>
      </c>
      <c r="E30" s="97">
        <v>10.081351455790792</v>
      </c>
      <c r="F30" s="97">
        <v>10.081351455790792</v>
      </c>
      <c r="G30" s="97">
        <v>10.081351455790792</v>
      </c>
      <c r="H30" s="97">
        <v>0</v>
      </c>
      <c r="I30" s="97">
        <v>0</v>
      </c>
      <c r="J30" s="99" t="s">
        <v>539</v>
      </c>
      <c r="K30" s="99" t="s">
        <v>539</v>
      </c>
      <c r="L30" s="97">
        <v>0</v>
      </c>
      <c r="M30" s="97">
        <v>0</v>
      </c>
      <c r="N30" s="97" t="s">
        <v>539</v>
      </c>
      <c r="O30" s="97" t="s">
        <v>539</v>
      </c>
      <c r="P30" s="97">
        <v>0</v>
      </c>
      <c r="Q30" s="97">
        <v>0</v>
      </c>
      <c r="R30" s="99" t="s">
        <v>539</v>
      </c>
      <c r="S30" s="99" t="s">
        <v>539</v>
      </c>
      <c r="T30" s="97">
        <v>0</v>
      </c>
      <c r="U30" s="97">
        <v>0</v>
      </c>
      <c r="V30" s="97" t="s">
        <v>539</v>
      </c>
      <c r="W30" s="97" t="s">
        <v>539</v>
      </c>
      <c r="X30" s="97">
        <v>0</v>
      </c>
      <c r="Y30" s="97">
        <v>0</v>
      </c>
      <c r="Z30" s="97" t="s">
        <v>539</v>
      </c>
      <c r="AA30" s="97" t="s">
        <v>539</v>
      </c>
      <c r="AB30" s="97">
        <f t="shared" si="1"/>
        <v>0</v>
      </c>
      <c r="AC30" s="97" t="s">
        <v>539</v>
      </c>
    </row>
    <row r="31" spans="1:32" x14ac:dyDescent="0.25">
      <c r="A31" s="44" t="s">
        <v>166</v>
      </c>
      <c r="B31" s="25" t="s">
        <v>165</v>
      </c>
      <c r="C31" s="97">
        <v>0.96764183999999986</v>
      </c>
      <c r="D31" s="97">
        <v>0.96764183999999986</v>
      </c>
      <c r="E31" s="97">
        <v>0.96764183999999986</v>
      </c>
      <c r="F31" s="99">
        <v>0.96764183999999986</v>
      </c>
      <c r="G31" s="99">
        <v>0.96764183999999986</v>
      </c>
      <c r="H31" s="97">
        <v>0</v>
      </c>
      <c r="I31" s="99">
        <v>0</v>
      </c>
      <c r="J31" s="99" t="s">
        <v>539</v>
      </c>
      <c r="K31" s="99" t="s">
        <v>539</v>
      </c>
      <c r="L31" s="99">
        <f>'6.2. Паспорт фин осв ввод факт'!X31</f>
        <v>0</v>
      </c>
      <c r="M31" s="99">
        <v>0</v>
      </c>
      <c r="N31" s="97" t="s">
        <v>539</v>
      </c>
      <c r="O31" s="99" t="s">
        <v>539</v>
      </c>
      <c r="P31" s="97">
        <v>0</v>
      </c>
      <c r="Q31" s="99">
        <v>0</v>
      </c>
      <c r="R31" s="99" t="s">
        <v>539</v>
      </c>
      <c r="S31" s="99" t="s">
        <v>539</v>
      </c>
      <c r="T31" s="97">
        <v>0</v>
      </c>
      <c r="U31" s="99">
        <v>0</v>
      </c>
      <c r="V31" s="99" t="s">
        <v>539</v>
      </c>
      <c r="W31" s="99" t="s">
        <v>539</v>
      </c>
      <c r="X31" s="99">
        <v>0</v>
      </c>
      <c r="Y31" s="99">
        <v>0</v>
      </c>
      <c r="Z31" s="99" t="s">
        <v>539</v>
      </c>
      <c r="AA31" s="99" t="s">
        <v>539</v>
      </c>
      <c r="AB31" s="97">
        <f t="shared" si="1"/>
        <v>0</v>
      </c>
      <c r="AC31" s="97" t="s">
        <v>539</v>
      </c>
    </row>
    <row r="32" spans="1:32" ht="31.5" x14ac:dyDescent="0.25">
      <c r="A32" s="44" t="s">
        <v>164</v>
      </c>
      <c r="B32" s="25" t="s">
        <v>163</v>
      </c>
      <c r="C32" s="97">
        <v>1.4988522284865842</v>
      </c>
      <c r="D32" s="97">
        <v>1.4988522284865842</v>
      </c>
      <c r="E32" s="97">
        <v>1.4988522284865842</v>
      </c>
      <c r="F32" s="99">
        <v>1.4988522284865842</v>
      </c>
      <c r="G32" s="99">
        <v>1.4988522284865842</v>
      </c>
      <c r="H32" s="97">
        <v>0</v>
      </c>
      <c r="I32" s="99">
        <v>0</v>
      </c>
      <c r="J32" s="99" t="s">
        <v>539</v>
      </c>
      <c r="K32" s="99" t="s">
        <v>539</v>
      </c>
      <c r="L32" s="99">
        <v>0</v>
      </c>
      <c r="M32" s="99">
        <v>0</v>
      </c>
      <c r="N32" s="97" t="s">
        <v>539</v>
      </c>
      <c r="O32" s="99" t="s">
        <v>539</v>
      </c>
      <c r="P32" s="97">
        <v>0</v>
      </c>
      <c r="Q32" s="99">
        <v>0</v>
      </c>
      <c r="R32" s="99" t="s">
        <v>539</v>
      </c>
      <c r="S32" s="99" t="s">
        <v>539</v>
      </c>
      <c r="T32" s="97">
        <v>0</v>
      </c>
      <c r="U32" s="99">
        <v>0</v>
      </c>
      <c r="V32" s="99" t="s">
        <v>539</v>
      </c>
      <c r="W32" s="99" t="s">
        <v>539</v>
      </c>
      <c r="X32" s="99">
        <v>0</v>
      </c>
      <c r="Y32" s="99">
        <v>0</v>
      </c>
      <c r="Z32" s="99" t="s">
        <v>539</v>
      </c>
      <c r="AA32" s="99" t="s">
        <v>539</v>
      </c>
      <c r="AB32" s="97">
        <f t="shared" si="1"/>
        <v>0</v>
      </c>
      <c r="AC32" s="97" t="s">
        <v>539</v>
      </c>
    </row>
    <row r="33" spans="1:29" x14ac:dyDescent="0.25">
      <c r="A33" s="44" t="s">
        <v>162</v>
      </c>
      <c r="B33" s="25" t="s">
        <v>161</v>
      </c>
      <c r="C33" s="97">
        <v>16.354576721431691</v>
      </c>
      <c r="D33" s="97">
        <v>16.354576721431691</v>
      </c>
      <c r="E33" s="97">
        <v>7.6045767214316911</v>
      </c>
      <c r="F33" s="99">
        <v>7.6045767214316911</v>
      </c>
      <c r="G33" s="99">
        <v>7.6045767214316911</v>
      </c>
      <c r="H33" s="97">
        <v>0</v>
      </c>
      <c r="I33" s="99">
        <v>0</v>
      </c>
      <c r="J33" s="99" t="s">
        <v>539</v>
      </c>
      <c r="K33" s="99" t="s">
        <v>539</v>
      </c>
      <c r="L33" s="99">
        <v>0</v>
      </c>
      <c r="M33" s="99">
        <v>0</v>
      </c>
      <c r="N33" s="97" t="s">
        <v>539</v>
      </c>
      <c r="O33" s="99" t="s">
        <v>539</v>
      </c>
      <c r="P33" s="97">
        <v>0</v>
      </c>
      <c r="Q33" s="99">
        <v>0</v>
      </c>
      <c r="R33" s="99" t="s">
        <v>539</v>
      </c>
      <c r="S33" s="99" t="s">
        <v>539</v>
      </c>
      <c r="T33" s="97">
        <v>0</v>
      </c>
      <c r="U33" s="99">
        <v>0</v>
      </c>
      <c r="V33" s="99" t="s">
        <v>539</v>
      </c>
      <c r="W33" s="99" t="s">
        <v>539</v>
      </c>
      <c r="X33" s="99">
        <v>0</v>
      </c>
      <c r="Y33" s="99">
        <v>0</v>
      </c>
      <c r="Z33" s="99" t="s">
        <v>539</v>
      </c>
      <c r="AA33" s="99" t="s">
        <v>539</v>
      </c>
      <c r="AB33" s="97">
        <f t="shared" si="1"/>
        <v>0</v>
      </c>
      <c r="AC33" s="97" t="s">
        <v>539</v>
      </c>
    </row>
    <row r="34" spans="1:29" x14ac:dyDescent="0.25">
      <c r="A34" s="44" t="s">
        <v>160</v>
      </c>
      <c r="B34" s="25" t="s">
        <v>159</v>
      </c>
      <c r="C34" s="97">
        <v>1.028066587251749E-2</v>
      </c>
      <c r="D34" s="97">
        <v>1.028066587251749E-2</v>
      </c>
      <c r="E34" s="97">
        <v>1.028066587251749E-2</v>
      </c>
      <c r="F34" s="99">
        <v>1.028066587251749E-2</v>
      </c>
      <c r="G34" s="99">
        <v>1.028066587251749E-2</v>
      </c>
      <c r="H34" s="97">
        <v>0</v>
      </c>
      <c r="I34" s="99">
        <v>0</v>
      </c>
      <c r="J34" s="99" t="s">
        <v>539</v>
      </c>
      <c r="K34" s="99" t="s">
        <v>539</v>
      </c>
      <c r="L34" s="99">
        <v>0</v>
      </c>
      <c r="M34" s="99">
        <v>0</v>
      </c>
      <c r="N34" s="97" t="s">
        <v>539</v>
      </c>
      <c r="O34" s="99" t="s">
        <v>539</v>
      </c>
      <c r="P34" s="97">
        <v>0</v>
      </c>
      <c r="Q34" s="99">
        <v>0</v>
      </c>
      <c r="R34" s="99" t="s">
        <v>539</v>
      </c>
      <c r="S34" s="99" t="s">
        <v>539</v>
      </c>
      <c r="T34" s="97">
        <v>0</v>
      </c>
      <c r="U34" s="99">
        <v>0</v>
      </c>
      <c r="V34" s="99" t="s">
        <v>539</v>
      </c>
      <c r="W34" s="99" t="s">
        <v>539</v>
      </c>
      <c r="X34" s="99">
        <v>0</v>
      </c>
      <c r="Y34" s="99">
        <v>0</v>
      </c>
      <c r="Z34" s="99" t="s">
        <v>539</v>
      </c>
      <c r="AA34" s="99" t="s">
        <v>539</v>
      </c>
      <c r="AB34" s="97">
        <f t="shared" si="1"/>
        <v>0</v>
      </c>
      <c r="AC34" s="97" t="s">
        <v>539</v>
      </c>
    </row>
    <row r="35" spans="1:29" s="291" customFormat="1" ht="31.5" x14ac:dyDescent="0.25">
      <c r="A35" s="44" t="s">
        <v>60</v>
      </c>
      <c r="B35" s="43" t="s">
        <v>158</v>
      </c>
      <c r="C35" s="97">
        <f>'6.2. Паспорт фин осв ввод факт'!C35</f>
        <v>0</v>
      </c>
      <c r="D35" s="97">
        <f>'6.2. Паспорт фин осв ввод факт'!D35</f>
        <v>0</v>
      </c>
      <c r="E35" s="97">
        <v>0</v>
      </c>
      <c r="F35" s="97">
        <v>0</v>
      </c>
      <c r="G35" s="99">
        <v>0</v>
      </c>
      <c r="H35" s="97">
        <f>C35</f>
        <v>0</v>
      </c>
      <c r="I35" s="97">
        <v>0</v>
      </c>
      <c r="J35" s="99" t="s">
        <v>539</v>
      </c>
      <c r="K35" s="99" t="s">
        <v>539</v>
      </c>
      <c r="L35" s="97">
        <v>0</v>
      </c>
      <c r="M35" s="97">
        <v>0</v>
      </c>
      <c r="N35" s="97" t="s">
        <v>539</v>
      </c>
      <c r="O35" s="97" t="s">
        <v>539</v>
      </c>
      <c r="P35" s="97">
        <v>0</v>
      </c>
      <c r="Q35" s="97">
        <v>0</v>
      </c>
      <c r="R35" s="99" t="s">
        <v>539</v>
      </c>
      <c r="S35" s="99" t="s">
        <v>539</v>
      </c>
      <c r="T35" s="97">
        <v>0</v>
      </c>
      <c r="U35" s="97">
        <v>0</v>
      </c>
      <c r="V35" s="97" t="s">
        <v>539</v>
      </c>
      <c r="W35" s="97" t="s">
        <v>539</v>
      </c>
      <c r="X35" s="97">
        <v>0</v>
      </c>
      <c r="Y35" s="97">
        <v>0</v>
      </c>
      <c r="Z35" s="97" t="s">
        <v>539</v>
      </c>
      <c r="AA35" s="97" t="s">
        <v>539</v>
      </c>
      <c r="AB35" s="97">
        <f t="shared" si="1"/>
        <v>0</v>
      </c>
      <c r="AC35" s="97" t="s">
        <v>539</v>
      </c>
    </row>
    <row r="36" spans="1:29" ht="31.5" x14ac:dyDescent="0.25">
      <c r="A36" s="41" t="s">
        <v>157</v>
      </c>
      <c r="B36" s="169" t="s">
        <v>156</v>
      </c>
      <c r="C36" s="97">
        <f>'6.2. Паспорт фин осв ввод факт'!C36</f>
        <v>0</v>
      </c>
      <c r="D36" s="97">
        <f>'6.2. Паспорт фин осв ввод факт'!D36</f>
        <v>0</v>
      </c>
      <c r="E36" s="97">
        <v>0</v>
      </c>
      <c r="F36" s="97">
        <v>0</v>
      </c>
      <c r="G36" s="99">
        <v>0</v>
      </c>
      <c r="H36" s="97">
        <f>C36</f>
        <v>0</v>
      </c>
      <c r="I36" s="99">
        <v>0</v>
      </c>
      <c r="J36" s="99" t="s">
        <v>539</v>
      </c>
      <c r="K36" s="99" t="s">
        <v>539</v>
      </c>
      <c r="L36" s="99">
        <v>0</v>
      </c>
      <c r="M36" s="99">
        <v>0</v>
      </c>
      <c r="N36" s="97" t="s">
        <v>539</v>
      </c>
      <c r="O36" s="99" t="s">
        <v>539</v>
      </c>
      <c r="P36" s="99">
        <v>0</v>
      </c>
      <c r="Q36" s="99">
        <v>0</v>
      </c>
      <c r="R36" s="99" t="s">
        <v>539</v>
      </c>
      <c r="S36" s="99" t="s">
        <v>539</v>
      </c>
      <c r="T36" s="97">
        <v>0</v>
      </c>
      <c r="U36" s="99">
        <v>0</v>
      </c>
      <c r="V36" s="99" t="s">
        <v>539</v>
      </c>
      <c r="W36" s="99" t="s">
        <v>539</v>
      </c>
      <c r="X36" s="97">
        <v>0</v>
      </c>
      <c r="Y36" s="99">
        <v>0</v>
      </c>
      <c r="Z36" s="97" t="s">
        <v>539</v>
      </c>
      <c r="AA36" s="99" t="s">
        <v>539</v>
      </c>
      <c r="AB36" s="97">
        <f t="shared" si="1"/>
        <v>0</v>
      </c>
      <c r="AC36" s="97" t="s">
        <v>539</v>
      </c>
    </row>
    <row r="37" spans="1:29" x14ac:dyDescent="0.25">
      <c r="A37" s="41" t="s">
        <v>155</v>
      </c>
      <c r="B37" s="169" t="s">
        <v>145</v>
      </c>
      <c r="C37" s="97">
        <f>0.8+0.25</f>
        <v>1.05</v>
      </c>
      <c r="D37" s="97">
        <f>0.8+0.25</f>
        <v>1.05</v>
      </c>
      <c r="E37" s="97">
        <v>1.05</v>
      </c>
      <c r="F37" s="97">
        <v>1.05</v>
      </c>
      <c r="G37" s="99">
        <v>1.05</v>
      </c>
      <c r="H37" s="97">
        <v>0</v>
      </c>
      <c r="I37" s="99">
        <v>0</v>
      </c>
      <c r="J37" s="99" t="s">
        <v>539</v>
      </c>
      <c r="K37" s="99" t="s">
        <v>539</v>
      </c>
      <c r="L37" s="99">
        <v>0</v>
      </c>
      <c r="M37" s="99">
        <v>0</v>
      </c>
      <c r="N37" s="97" t="s">
        <v>539</v>
      </c>
      <c r="O37" s="99" t="s">
        <v>539</v>
      </c>
      <c r="P37" s="99">
        <v>0</v>
      </c>
      <c r="Q37" s="99">
        <v>0</v>
      </c>
      <c r="R37" s="99" t="s">
        <v>539</v>
      </c>
      <c r="S37" s="99" t="s">
        <v>539</v>
      </c>
      <c r="T37" s="97">
        <v>0</v>
      </c>
      <c r="U37" s="99">
        <v>0</v>
      </c>
      <c r="V37" s="99" t="s">
        <v>539</v>
      </c>
      <c r="W37" s="99" t="s">
        <v>539</v>
      </c>
      <c r="X37" s="97">
        <v>0</v>
      </c>
      <c r="Y37" s="99">
        <v>0</v>
      </c>
      <c r="Z37" s="97" t="s">
        <v>539</v>
      </c>
      <c r="AA37" s="99" t="s">
        <v>539</v>
      </c>
      <c r="AB37" s="97">
        <f t="shared" si="1"/>
        <v>0</v>
      </c>
      <c r="AC37" s="97" t="s">
        <v>539</v>
      </c>
    </row>
    <row r="38" spans="1:29" x14ac:dyDescent="0.25">
      <c r="A38" s="41" t="s">
        <v>154</v>
      </c>
      <c r="B38" s="169" t="s">
        <v>143</v>
      </c>
      <c r="C38" s="97">
        <f>'6.2. Паспорт фин осв ввод факт'!C38</f>
        <v>0</v>
      </c>
      <c r="D38" s="97">
        <f>'6.2. Паспорт фин осв ввод факт'!D38</f>
        <v>0</v>
      </c>
      <c r="E38" s="97">
        <v>0</v>
      </c>
      <c r="F38" s="97">
        <v>0</v>
      </c>
      <c r="G38" s="99">
        <v>0</v>
      </c>
      <c r="H38" s="97">
        <f>C38</f>
        <v>0</v>
      </c>
      <c r="I38" s="99">
        <v>0</v>
      </c>
      <c r="J38" s="99" t="s">
        <v>539</v>
      </c>
      <c r="K38" s="99" t="s">
        <v>539</v>
      </c>
      <c r="L38" s="99">
        <v>0</v>
      </c>
      <c r="M38" s="99">
        <v>0</v>
      </c>
      <c r="N38" s="97" t="s">
        <v>539</v>
      </c>
      <c r="O38" s="99" t="s">
        <v>539</v>
      </c>
      <c r="P38" s="99">
        <f t="shared" ref="P38:P63" si="2">C38</f>
        <v>0</v>
      </c>
      <c r="Q38" s="99">
        <v>0</v>
      </c>
      <c r="R38" s="99" t="s">
        <v>539</v>
      </c>
      <c r="S38" s="99" t="s">
        <v>539</v>
      </c>
      <c r="T38" s="97">
        <v>0</v>
      </c>
      <c r="U38" s="99">
        <v>0</v>
      </c>
      <c r="V38" s="99" t="s">
        <v>539</v>
      </c>
      <c r="W38" s="99" t="s">
        <v>539</v>
      </c>
      <c r="X38" s="97">
        <v>0</v>
      </c>
      <c r="Y38" s="99">
        <v>0</v>
      </c>
      <c r="Z38" s="97" t="s">
        <v>539</v>
      </c>
      <c r="AA38" s="99" t="s">
        <v>539</v>
      </c>
      <c r="AB38" s="97">
        <f t="shared" si="1"/>
        <v>0</v>
      </c>
      <c r="AC38" s="97" t="s">
        <v>539</v>
      </c>
    </row>
    <row r="39" spans="1:29" ht="31.5" x14ac:dyDescent="0.25">
      <c r="A39" s="41" t="s">
        <v>153</v>
      </c>
      <c r="B39" s="25" t="s">
        <v>141</v>
      </c>
      <c r="C39" s="97">
        <f>'6.2. Паспорт фин осв ввод факт'!C39</f>
        <v>0</v>
      </c>
      <c r="D39" s="97">
        <f>'6.2. Паспорт фин осв ввод факт'!D39</f>
        <v>0</v>
      </c>
      <c r="E39" s="97">
        <v>0</v>
      </c>
      <c r="F39" s="97">
        <v>0</v>
      </c>
      <c r="G39" s="99">
        <v>0</v>
      </c>
      <c r="H39" s="97">
        <f>C39</f>
        <v>0</v>
      </c>
      <c r="I39" s="99">
        <v>0</v>
      </c>
      <c r="J39" s="99" t="s">
        <v>539</v>
      </c>
      <c r="K39" s="99" t="s">
        <v>539</v>
      </c>
      <c r="L39" s="99">
        <v>0</v>
      </c>
      <c r="M39" s="99">
        <v>0</v>
      </c>
      <c r="N39" s="97" t="s">
        <v>539</v>
      </c>
      <c r="O39" s="99" t="s">
        <v>539</v>
      </c>
      <c r="P39" s="99">
        <f t="shared" si="2"/>
        <v>0</v>
      </c>
      <c r="Q39" s="99">
        <v>0</v>
      </c>
      <c r="R39" s="99" t="s">
        <v>539</v>
      </c>
      <c r="S39" s="99" t="s">
        <v>539</v>
      </c>
      <c r="T39" s="97">
        <v>0</v>
      </c>
      <c r="U39" s="99">
        <v>0</v>
      </c>
      <c r="V39" s="99" t="s">
        <v>539</v>
      </c>
      <c r="W39" s="99" t="s">
        <v>539</v>
      </c>
      <c r="X39" s="97">
        <v>0</v>
      </c>
      <c r="Y39" s="99">
        <v>0</v>
      </c>
      <c r="Z39" s="97" t="s">
        <v>539</v>
      </c>
      <c r="AA39" s="99" t="s">
        <v>539</v>
      </c>
      <c r="AB39" s="97">
        <f t="shared" si="1"/>
        <v>0</v>
      </c>
      <c r="AC39" s="97" t="s">
        <v>539</v>
      </c>
    </row>
    <row r="40" spans="1:29" ht="31.5" x14ac:dyDescent="0.25">
      <c r="A40" s="41" t="s">
        <v>152</v>
      </c>
      <c r="B40" s="25" t="s">
        <v>139</v>
      </c>
      <c r="C40" s="97">
        <f>'6.2. Паспорт фин осв ввод факт'!C40</f>
        <v>0</v>
      </c>
      <c r="D40" s="97">
        <f>'6.2. Паспорт фин осв ввод факт'!D40</f>
        <v>0</v>
      </c>
      <c r="E40" s="97">
        <v>0</v>
      </c>
      <c r="F40" s="97">
        <v>0</v>
      </c>
      <c r="G40" s="99">
        <v>0</v>
      </c>
      <c r="H40" s="97">
        <f>C40</f>
        <v>0</v>
      </c>
      <c r="I40" s="99">
        <v>0</v>
      </c>
      <c r="J40" s="99" t="s">
        <v>539</v>
      </c>
      <c r="K40" s="99" t="s">
        <v>539</v>
      </c>
      <c r="L40" s="99">
        <v>0</v>
      </c>
      <c r="M40" s="99">
        <v>0</v>
      </c>
      <c r="N40" s="97" t="s">
        <v>539</v>
      </c>
      <c r="O40" s="99" t="s">
        <v>539</v>
      </c>
      <c r="P40" s="99">
        <f t="shared" si="2"/>
        <v>0</v>
      </c>
      <c r="Q40" s="99">
        <v>0</v>
      </c>
      <c r="R40" s="99" t="s">
        <v>539</v>
      </c>
      <c r="S40" s="99" t="s">
        <v>539</v>
      </c>
      <c r="T40" s="97">
        <v>0</v>
      </c>
      <c r="U40" s="99">
        <v>0</v>
      </c>
      <c r="V40" s="99" t="s">
        <v>539</v>
      </c>
      <c r="W40" s="99" t="s">
        <v>539</v>
      </c>
      <c r="X40" s="97">
        <v>0</v>
      </c>
      <c r="Y40" s="99">
        <v>0</v>
      </c>
      <c r="Z40" s="97" t="s">
        <v>539</v>
      </c>
      <c r="AA40" s="99" t="s">
        <v>539</v>
      </c>
      <c r="AB40" s="97">
        <f t="shared" si="1"/>
        <v>0</v>
      </c>
      <c r="AC40" s="97" t="s">
        <v>539</v>
      </c>
    </row>
    <row r="41" spans="1:29" x14ac:dyDescent="0.25">
      <c r="A41" s="41" t="s">
        <v>151</v>
      </c>
      <c r="B41" s="25" t="s">
        <v>137</v>
      </c>
      <c r="C41" s="97">
        <f>'6.2. Паспорт фин осв ввод факт'!C41</f>
        <v>0</v>
      </c>
      <c r="D41" s="97">
        <f>'6.2. Паспорт фин осв ввод факт'!D41</f>
        <v>0</v>
      </c>
      <c r="E41" s="97">
        <v>0</v>
      </c>
      <c r="F41" s="97">
        <v>0</v>
      </c>
      <c r="G41" s="99">
        <v>0</v>
      </c>
      <c r="H41" s="97">
        <f>C41</f>
        <v>0</v>
      </c>
      <c r="I41" s="99">
        <v>0</v>
      </c>
      <c r="J41" s="99" t="s">
        <v>539</v>
      </c>
      <c r="K41" s="99" t="s">
        <v>539</v>
      </c>
      <c r="L41" s="99">
        <v>0</v>
      </c>
      <c r="M41" s="99">
        <v>0</v>
      </c>
      <c r="N41" s="97" t="s">
        <v>539</v>
      </c>
      <c r="O41" s="99" t="s">
        <v>539</v>
      </c>
      <c r="P41" s="99">
        <f t="shared" si="2"/>
        <v>0</v>
      </c>
      <c r="Q41" s="99">
        <v>0</v>
      </c>
      <c r="R41" s="99" t="s">
        <v>539</v>
      </c>
      <c r="S41" s="99" t="s">
        <v>539</v>
      </c>
      <c r="T41" s="97">
        <v>0</v>
      </c>
      <c r="U41" s="99">
        <v>0</v>
      </c>
      <c r="V41" s="99" t="s">
        <v>539</v>
      </c>
      <c r="W41" s="99" t="s">
        <v>539</v>
      </c>
      <c r="X41" s="97">
        <v>0</v>
      </c>
      <c r="Y41" s="99">
        <v>0</v>
      </c>
      <c r="Z41" s="97" t="s">
        <v>539</v>
      </c>
      <c r="AA41" s="99" t="s">
        <v>539</v>
      </c>
      <c r="AB41" s="97">
        <f t="shared" si="1"/>
        <v>0</v>
      </c>
      <c r="AC41" s="97" t="s">
        <v>539</v>
      </c>
    </row>
    <row r="42" spans="1:29" ht="18.75" x14ac:dyDescent="0.25">
      <c r="A42" s="41" t="s">
        <v>150</v>
      </c>
      <c r="B42" s="169" t="s">
        <v>547</v>
      </c>
      <c r="C42" s="97">
        <f>9+10</f>
        <v>19</v>
      </c>
      <c r="D42" s="97">
        <f>9+10</f>
        <v>19</v>
      </c>
      <c r="E42" s="97">
        <v>19</v>
      </c>
      <c r="F42" s="97">
        <v>19</v>
      </c>
      <c r="G42" s="99">
        <v>19</v>
      </c>
      <c r="H42" s="97">
        <v>0</v>
      </c>
      <c r="I42" s="99">
        <v>0</v>
      </c>
      <c r="J42" s="99" t="s">
        <v>539</v>
      </c>
      <c r="K42" s="99" t="s">
        <v>539</v>
      </c>
      <c r="L42" s="99">
        <v>0</v>
      </c>
      <c r="M42" s="99">
        <v>0</v>
      </c>
      <c r="N42" s="97" t="s">
        <v>539</v>
      </c>
      <c r="O42" s="99" t="s">
        <v>539</v>
      </c>
      <c r="P42" s="99">
        <v>0</v>
      </c>
      <c r="Q42" s="99">
        <v>0</v>
      </c>
      <c r="R42" s="99" t="s">
        <v>539</v>
      </c>
      <c r="S42" s="99" t="s">
        <v>539</v>
      </c>
      <c r="T42" s="97">
        <v>0</v>
      </c>
      <c r="U42" s="99">
        <v>0</v>
      </c>
      <c r="V42" s="99" t="s">
        <v>539</v>
      </c>
      <c r="W42" s="99" t="s">
        <v>539</v>
      </c>
      <c r="X42" s="97">
        <v>0</v>
      </c>
      <c r="Y42" s="99">
        <v>0</v>
      </c>
      <c r="Z42" s="97" t="s">
        <v>539</v>
      </c>
      <c r="AA42" s="99" t="s">
        <v>539</v>
      </c>
      <c r="AB42" s="97">
        <f t="shared" si="1"/>
        <v>0</v>
      </c>
      <c r="AC42" s="97" t="s">
        <v>539</v>
      </c>
    </row>
    <row r="43" spans="1:29" s="291" customFormat="1" x14ac:dyDescent="0.25">
      <c r="A43" s="44" t="s">
        <v>59</v>
      </c>
      <c r="B43" s="43" t="s">
        <v>149</v>
      </c>
      <c r="C43" s="97">
        <f>'6.2. Паспорт фин осв ввод факт'!C43</f>
        <v>0</v>
      </c>
      <c r="D43" s="97">
        <f>'6.2. Паспорт фин осв ввод факт'!D43</f>
        <v>0</v>
      </c>
      <c r="E43" s="97">
        <v>0</v>
      </c>
      <c r="F43" s="97">
        <v>0</v>
      </c>
      <c r="G43" s="99">
        <v>0</v>
      </c>
      <c r="H43" s="97">
        <f>C43</f>
        <v>0</v>
      </c>
      <c r="I43" s="97">
        <v>0</v>
      </c>
      <c r="J43" s="99" t="s">
        <v>539</v>
      </c>
      <c r="K43" s="99" t="s">
        <v>539</v>
      </c>
      <c r="L43" s="97">
        <v>0</v>
      </c>
      <c r="M43" s="97">
        <v>0</v>
      </c>
      <c r="N43" s="97" t="s">
        <v>539</v>
      </c>
      <c r="O43" s="97" t="s">
        <v>539</v>
      </c>
      <c r="P43" s="99">
        <f t="shared" si="2"/>
        <v>0</v>
      </c>
      <c r="Q43" s="97">
        <v>0</v>
      </c>
      <c r="R43" s="99" t="s">
        <v>539</v>
      </c>
      <c r="S43" s="99" t="s">
        <v>539</v>
      </c>
      <c r="T43" s="97">
        <v>0</v>
      </c>
      <c r="U43" s="97">
        <v>0</v>
      </c>
      <c r="V43" s="97" t="s">
        <v>539</v>
      </c>
      <c r="W43" s="97" t="s">
        <v>539</v>
      </c>
      <c r="X43" s="97">
        <v>0</v>
      </c>
      <c r="Y43" s="97">
        <v>0</v>
      </c>
      <c r="Z43" s="97" t="s">
        <v>539</v>
      </c>
      <c r="AA43" s="97" t="s">
        <v>539</v>
      </c>
      <c r="AB43" s="97">
        <f t="shared" si="1"/>
        <v>0</v>
      </c>
      <c r="AC43" s="97" t="s">
        <v>539</v>
      </c>
    </row>
    <row r="44" spans="1:29" x14ac:dyDescent="0.25">
      <c r="A44" s="41" t="s">
        <v>148</v>
      </c>
      <c r="B44" s="25" t="s">
        <v>147</v>
      </c>
      <c r="C44" s="97">
        <f>'6.2. Паспорт фин осв ввод факт'!C44</f>
        <v>0</v>
      </c>
      <c r="D44" s="97">
        <f>'6.2. Паспорт фин осв ввод факт'!D44</f>
        <v>0</v>
      </c>
      <c r="E44" s="97">
        <v>0</v>
      </c>
      <c r="F44" s="97">
        <v>0</v>
      </c>
      <c r="G44" s="99">
        <v>0</v>
      </c>
      <c r="H44" s="97">
        <f>C44</f>
        <v>0</v>
      </c>
      <c r="I44" s="99">
        <v>0</v>
      </c>
      <c r="J44" s="99" t="s">
        <v>539</v>
      </c>
      <c r="K44" s="99" t="s">
        <v>539</v>
      </c>
      <c r="L44" s="99">
        <f>'6.2. Паспорт фин осв ввод факт'!X44</f>
        <v>0</v>
      </c>
      <c r="M44" s="99">
        <v>0</v>
      </c>
      <c r="N44" s="97" t="s">
        <v>539</v>
      </c>
      <c r="O44" s="99" t="s">
        <v>539</v>
      </c>
      <c r="P44" s="99">
        <f>C44</f>
        <v>0</v>
      </c>
      <c r="Q44" s="99">
        <v>0</v>
      </c>
      <c r="R44" s="99" t="s">
        <v>539</v>
      </c>
      <c r="S44" s="99" t="s">
        <v>539</v>
      </c>
      <c r="T44" s="97">
        <v>0</v>
      </c>
      <c r="U44" s="99">
        <v>0</v>
      </c>
      <c r="V44" s="99" t="s">
        <v>539</v>
      </c>
      <c r="W44" s="99" t="s">
        <v>539</v>
      </c>
      <c r="X44" s="97">
        <v>0</v>
      </c>
      <c r="Y44" s="99">
        <v>0</v>
      </c>
      <c r="Z44" s="97" t="s">
        <v>539</v>
      </c>
      <c r="AA44" s="99" t="s">
        <v>539</v>
      </c>
      <c r="AB44" s="97">
        <f t="shared" si="1"/>
        <v>0</v>
      </c>
      <c r="AC44" s="97" t="s">
        <v>539</v>
      </c>
    </row>
    <row r="45" spans="1:29" x14ac:dyDescent="0.25">
      <c r="A45" s="41" t="s">
        <v>146</v>
      </c>
      <c r="B45" s="25" t="s">
        <v>145</v>
      </c>
      <c r="C45" s="97">
        <f>C37</f>
        <v>1.05</v>
      </c>
      <c r="D45" s="97">
        <f>D37</f>
        <v>1.05</v>
      </c>
      <c r="E45" s="97">
        <v>1.05</v>
      </c>
      <c r="F45" s="97">
        <v>1.05</v>
      </c>
      <c r="G45" s="99">
        <v>1.05</v>
      </c>
      <c r="H45" s="97">
        <v>0</v>
      </c>
      <c r="I45" s="99">
        <v>0</v>
      </c>
      <c r="J45" s="99" t="s">
        <v>539</v>
      </c>
      <c r="K45" s="99" t="s">
        <v>539</v>
      </c>
      <c r="L45" s="99">
        <v>0</v>
      </c>
      <c r="M45" s="99">
        <v>0</v>
      </c>
      <c r="N45" s="97" t="s">
        <v>539</v>
      </c>
      <c r="O45" s="99" t="s">
        <v>539</v>
      </c>
      <c r="P45" s="99">
        <v>0</v>
      </c>
      <c r="Q45" s="99">
        <v>0</v>
      </c>
      <c r="R45" s="99" t="s">
        <v>539</v>
      </c>
      <c r="S45" s="99" t="s">
        <v>539</v>
      </c>
      <c r="T45" s="97">
        <v>0</v>
      </c>
      <c r="U45" s="99">
        <v>0</v>
      </c>
      <c r="V45" s="99" t="s">
        <v>539</v>
      </c>
      <c r="W45" s="99" t="s">
        <v>539</v>
      </c>
      <c r="X45" s="97">
        <v>0</v>
      </c>
      <c r="Y45" s="99">
        <v>0</v>
      </c>
      <c r="Z45" s="97" t="s">
        <v>539</v>
      </c>
      <c r="AA45" s="99" t="s">
        <v>539</v>
      </c>
      <c r="AB45" s="97">
        <f t="shared" si="1"/>
        <v>0</v>
      </c>
      <c r="AC45" s="97" t="s">
        <v>539</v>
      </c>
    </row>
    <row r="46" spans="1:29" x14ac:dyDescent="0.25">
      <c r="A46" s="41" t="s">
        <v>144</v>
      </c>
      <c r="B46" s="25" t="s">
        <v>143</v>
      </c>
      <c r="C46" s="97">
        <f>'6.2. Паспорт фин осв ввод факт'!C46</f>
        <v>0</v>
      </c>
      <c r="D46" s="97">
        <f>'6.2. Паспорт фин осв ввод факт'!D46</f>
        <v>0</v>
      </c>
      <c r="E46" s="97">
        <v>0</v>
      </c>
      <c r="F46" s="97">
        <v>0</v>
      </c>
      <c r="G46" s="99">
        <v>0</v>
      </c>
      <c r="H46" s="97">
        <f>C46</f>
        <v>0</v>
      </c>
      <c r="I46" s="99">
        <v>0</v>
      </c>
      <c r="J46" s="99" t="s">
        <v>539</v>
      </c>
      <c r="K46" s="99" t="s">
        <v>539</v>
      </c>
      <c r="L46" s="99">
        <f>'6.2. Паспорт фин осв ввод факт'!X46</f>
        <v>0</v>
      </c>
      <c r="M46" s="99">
        <v>0</v>
      </c>
      <c r="N46" s="97" t="s">
        <v>539</v>
      </c>
      <c r="O46" s="99" t="s">
        <v>539</v>
      </c>
      <c r="P46" s="99">
        <f t="shared" si="2"/>
        <v>0</v>
      </c>
      <c r="Q46" s="99">
        <v>0</v>
      </c>
      <c r="R46" s="99" t="s">
        <v>539</v>
      </c>
      <c r="S46" s="99" t="s">
        <v>539</v>
      </c>
      <c r="T46" s="97">
        <v>0</v>
      </c>
      <c r="U46" s="99">
        <v>0</v>
      </c>
      <c r="V46" s="99" t="s">
        <v>539</v>
      </c>
      <c r="W46" s="99" t="s">
        <v>539</v>
      </c>
      <c r="X46" s="97">
        <v>0</v>
      </c>
      <c r="Y46" s="99">
        <v>0</v>
      </c>
      <c r="Z46" s="97" t="s">
        <v>539</v>
      </c>
      <c r="AA46" s="99" t="s">
        <v>539</v>
      </c>
      <c r="AB46" s="97">
        <f t="shared" si="1"/>
        <v>0</v>
      </c>
      <c r="AC46" s="97" t="s">
        <v>539</v>
      </c>
    </row>
    <row r="47" spans="1:29" ht="31.5" x14ac:dyDescent="0.25">
      <c r="A47" s="41" t="s">
        <v>142</v>
      </c>
      <c r="B47" s="25" t="s">
        <v>141</v>
      </c>
      <c r="C47" s="97">
        <f>'6.2. Паспорт фин осв ввод факт'!C47</f>
        <v>0</v>
      </c>
      <c r="D47" s="97">
        <f>'6.2. Паспорт фин осв ввод факт'!D47</f>
        <v>0</v>
      </c>
      <c r="E47" s="97">
        <v>0</v>
      </c>
      <c r="F47" s="97">
        <v>0</v>
      </c>
      <c r="G47" s="99">
        <v>0</v>
      </c>
      <c r="H47" s="97">
        <f>C47</f>
        <v>0</v>
      </c>
      <c r="I47" s="99">
        <v>0</v>
      </c>
      <c r="J47" s="99" t="s">
        <v>539</v>
      </c>
      <c r="K47" s="99" t="s">
        <v>539</v>
      </c>
      <c r="L47" s="99">
        <f>'6.2. Паспорт фин осв ввод факт'!X47</f>
        <v>0</v>
      </c>
      <c r="M47" s="99">
        <v>0</v>
      </c>
      <c r="N47" s="97" t="s">
        <v>539</v>
      </c>
      <c r="O47" s="99" t="s">
        <v>539</v>
      </c>
      <c r="P47" s="99">
        <f t="shared" si="2"/>
        <v>0</v>
      </c>
      <c r="Q47" s="99">
        <v>0</v>
      </c>
      <c r="R47" s="99" t="s">
        <v>539</v>
      </c>
      <c r="S47" s="99" t="s">
        <v>539</v>
      </c>
      <c r="T47" s="97">
        <v>0</v>
      </c>
      <c r="U47" s="99">
        <v>0</v>
      </c>
      <c r="V47" s="99" t="s">
        <v>539</v>
      </c>
      <c r="W47" s="99" t="s">
        <v>539</v>
      </c>
      <c r="X47" s="97">
        <v>0</v>
      </c>
      <c r="Y47" s="99">
        <v>0</v>
      </c>
      <c r="Z47" s="97" t="s">
        <v>539</v>
      </c>
      <c r="AA47" s="99" t="s">
        <v>539</v>
      </c>
      <c r="AB47" s="97">
        <f t="shared" si="1"/>
        <v>0</v>
      </c>
      <c r="AC47" s="97" t="s">
        <v>539</v>
      </c>
    </row>
    <row r="48" spans="1:29" ht="31.5" x14ac:dyDescent="0.25">
      <c r="A48" s="41" t="s">
        <v>140</v>
      </c>
      <c r="B48" s="25" t="s">
        <v>139</v>
      </c>
      <c r="C48" s="97">
        <f>'6.2. Паспорт фин осв ввод факт'!C48</f>
        <v>0</v>
      </c>
      <c r="D48" s="97">
        <f>'6.2. Паспорт фин осв ввод факт'!D48</f>
        <v>0</v>
      </c>
      <c r="E48" s="97">
        <v>0</v>
      </c>
      <c r="F48" s="97">
        <v>0</v>
      </c>
      <c r="G48" s="99">
        <v>0</v>
      </c>
      <c r="H48" s="97">
        <f>C48</f>
        <v>0</v>
      </c>
      <c r="I48" s="99">
        <v>0</v>
      </c>
      <c r="J48" s="99" t="s">
        <v>539</v>
      </c>
      <c r="K48" s="99" t="s">
        <v>539</v>
      </c>
      <c r="L48" s="99">
        <f>'6.2. Паспорт фин осв ввод факт'!X48</f>
        <v>0</v>
      </c>
      <c r="M48" s="99">
        <v>0</v>
      </c>
      <c r="N48" s="97" t="s">
        <v>539</v>
      </c>
      <c r="O48" s="99" t="s">
        <v>539</v>
      </c>
      <c r="P48" s="99">
        <f>C48</f>
        <v>0</v>
      </c>
      <c r="Q48" s="99">
        <v>0</v>
      </c>
      <c r="R48" s="99" t="s">
        <v>539</v>
      </c>
      <c r="S48" s="99" t="s">
        <v>539</v>
      </c>
      <c r="T48" s="97">
        <v>0</v>
      </c>
      <c r="U48" s="99">
        <v>0</v>
      </c>
      <c r="V48" s="99" t="s">
        <v>539</v>
      </c>
      <c r="W48" s="99" t="s">
        <v>539</v>
      </c>
      <c r="X48" s="97">
        <v>0</v>
      </c>
      <c r="Y48" s="99">
        <v>0</v>
      </c>
      <c r="Z48" s="97" t="s">
        <v>539</v>
      </c>
      <c r="AA48" s="99" t="s">
        <v>539</v>
      </c>
      <c r="AB48" s="97">
        <f t="shared" si="1"/>
        <v>0</v>
      </c>
      <c r="AC48" s="97" t="s">
        <v>539</v>
      </c>
    </row>
    <row r="49" spans="1:29" x14ac:dyDescent="0.25">
      <c r="A49" s="41" t="s">
        <v>138</v>
      </c>
      <c r="B49" s="25" t="s">
        <v>137</v>
      </c>
      <c r="C49" s="97">
        <f>'6.2. Паспорт фин осв ввод факт'!C49</f>
        <v>0</v>
      </c>
      <c r="D49" s="97">
        <f>'6.2. Паспорт фин осв ввод факт'!D49</f>
        <v>0</v>
      </c>
      <c r="E49" s="97">
        <v>0</v>
      </c>
      <c r="F49" s="97">
        <v>0</v>
      </c>
      <c r="G49" s="99">
        <v>0</v>
      </c>
      <c r="H49" s="97">
        <f>C49</f>
        <v>0</v>
      </c>
      <c r="I49" s="99">
        <v>0</v>
      </c>
      <c r="J49" s="99" t="s">
        <v>539</v>
      </c>
      <c r="K49" s="99" t="s">
        <v>539</v>
      </c>
      <c r="L49" s="99">
        <f>'6.2. Паспорт фин осв ввод факт'!X49</f>
        <v>0</v>
      </c>
      <c r="M49" s="99">
        <v>0</v>
      </c>
      <c r="N49" s="97" t="s">
        <v>539</v>
      </c>
      <c r="O49" s="99" t="s">
        <v>539</v>
      </c>
      <c r="P49" s="99">
        <f t="shared" si="2"/>
        <v>0</v>
      </c>
      <c r="Q49" s="99">
        <v>0</v>
      </c>
      <c r="R49" s="99" t="s">
        <v>539</v>
      </c>
      <c r="S49" s="99" t="s">
        <v>539</v>
      </c>
      <c r="T49" s="97">
        <v>0</v>
      </c>
      <c r="U49" s="99">
        <v>0</v>
      </c>
      <c r="V49" s="99" t="s">
        <v>539</v>
      </c>
      <c r="W49" s="99" t="s">
        <v>539</v>
      </c>
      <c r="X49" s="97">
        <v>0</v>
      </c>
      <c r="Y49" s="99">
        <v>0</v>
      </c>
      <c r="Z49" s="97" t="s">
        <v>539</v>
      </c>
      <c r="AA49" s="99" t="s">
        <v>539</v>
      </c>
      <c r="AB49" s="97">
        <f t="shared" si="1"/>
        <v>0</v>
      </c>
      <c r="AC49" s="97" t="s">
        <v>539</v>
      </c>
    </row>
    <row r="50" spans="1:29" ht="18.75" x14ac:dyDescent="0.25">
      <c r="A50" s="41" t="s">
        <v>136</v>
      </c>
      <c r="B50" s="169" t="s">
        <v>547</v>
      </c>
      <c r="C50" s="97">
        <f>C42</f>
        <v>19</v>
      </c>
      <c r="D50" s="97">
        <f>D42</f>
        <v>19</v>
      </c>
      <c r="E50" s="97">
        <v>19</v>
      </c>
      <c r="F50" s="97">
        <v>19</v>
      </c>
      <c r="G50" s="99">
        <v>19</v>
      </c>
      <c r="H50" s="97">
        <v>0</v>
      </c>
      <c r="I50" s="99">
        <v>0</v>
      </c>
      <c r="J50" s="99" t="s">
        <v>539</v>
      </c>
      <c r="K50" s="99" t="s">
        <v>539</v>
      </c>
      <c r="L50" s="99">
        <v>9</v>
      </c>
      <c r="M50" s="99">
        <v>0</v>
      </c>
      <c r="N50" s="97" t="s">
        <v>539</v>
      </c>
      <c r="O50" s="99" t="s">
        <v>539</v>
      </c>
      <c r="P50" s="99">
        <v>0</v>
      </c>
      <c r="Q50" s="99">
        <v>0</v>
      </c>
      <c r="R50" s="99" t="s">
        <v>539</v>
      </c>
      <c r="S50" s="99" t="s">
        <v>539</v>
      </c>
      <c r="T50" s="97">
        <v>0</v>
      </c>
      <c r="U50" s="99">
        <v>0</v>
      </c>
      <c r="V50" s="99" t="s">
        <v>539</v>
      </c>
      <c r="W50" s="99" t="s">
        <v>539</v>
      </c>
      <c r="X50" s="97">
        <v>0</v>
      </c>
      <c r="Y50" s="99">
        <v>0</v>
      </c>
      <c r="Z50" s="97" t="s">
        <v>539</v>
      </c>
      <c r="AA50" s="99" t="s">
        <v>539</v>
      </c>
      <c r="AB50" s="97">
        <f t="shared" si="1"/>
        <v>9</v>
      </c>
      <c r="AC50" s="97" t="s">
        <v>539</v>
      </c>
    </row>
    <row r="51" spans="1:29" s="291" customFormat="1" ht="35.25" customHeight="1" x14ac:dyDescent="0.25">
      <c r="A51" s="44" t="s">
        <v>57</v>
      </c>
      <c r="B51" s="43" t="s">
        <v>135</v>
      </c>
      <c r="C51" s="97">
        <f>'6.2. Паспорт фин осв ввод факт'!C51</f>
        <v>0</v>
      </c>
      <c r="D51" s="97">
        <f>'6.2. Паспорт фин осв ввод факт'!D51</f>
        <v>0</v>
      </c>
      <c r="E51" s="97">
        <v>0</v>
      </c>
      <c r="F51" s="97">
        <v>0</v>
      </c>
      <c r="G51" s="99">
        <v>0</v>
      </c>
      <c r="H51" s="97">
        <f>C51</f>
        <v>0</v>
      </c>
      <c r="I51" s="97">
        <v>0</v>
      </c>
      <c r="J51" s="99" t="s">
        <v>539</v>
      </c>
      <c r="K51" s="99" t="s">
        <v>539</v>
      </c>
      <c r="L51" s="97">
        <f>'6.2. Паспорт фин осв ввод факт'!X51</f>
        <v>0</v>
      </c>
      <c r="M51" s="97">
        <v>0</v>
      </c>
      <c r="N51" s="97" t="s">
        <v>539</v>
      </c>
      <c r="O51" s="97" t="s">
        <v>539</v>
      </c>
      <c r="P51" s="99">
        <f>C51</f>
        <v>0</v>
      </c>
      <c r="Q51" s="97">
        <v>0</v>
      </c>
      <c r="R51" s="99" t="s">
        <v>539</v>
      </c>
      <c r="S51" s="99" t="s">
        <v>539</v>
      </c>
      <c r="T51" s="97">
        <v>0</v>
      </c>
      <c r="U51" s="97">
        <v>0</v>
      </c>
      <c r="V51" s="97" t="s">
        <v>539</v>
      </c>
      <c r="W51" s="97" t="s">
        <v>539</v>
      </c>
      <c r="X51" s="97">
        <v>0</v>
      </c>
      <c r="Y51" s="97">
        <v>0</v>
      </c>
      <c r="Z51" s="97" t="s">
        <v>539</v>
      </c>
      <c r="AA51" s="97" t="s">
        <v>539</v>
      </c>
      <c r="AB51" s="97">
        <f t="shared" si="1"/>
        <v>0</v>
      </c>
      <c r="AC51" s="97" t="s">
        <v>539</v>
      </c>
    </row>
    <row r="52" spans="1:29" x14ac:dyDescent="0.25">
      <c r="A52" s="41" t="s">
        <v>134</v>
      </c>
      <c r="B52" s="25" t="s">
        <v>133</v>
      </c>
      <c r="C52" s="97">
        <f>C30</f>
        <v>18.831351455790792</v>
      </c>
      <c r="D52" s="97">
        <f>D30</f>
        <v>18.831351455790792</v>
      </c>
      <c r="E52" s="97">
        <v>18.831351455790792</v>
      </c>
      <c r="F52" s="97">
        <v>18.831351455790792</v>
      </c>
      <c r="G52" s="99">
        <v>18.831351455790792</v>
      </c>
      <c r="H52" s="97">
        <v>0</v>
      </c>
      <c r="I52" s="99">
        <v>0</v>
      </c>
      <c r="J52" s="99" t="s">
        <v>539</v>
      </c>
      <c r="K52" s="99" t="s">
        <v>539</v>
      </c>
      <c r="L52" s="99">
        <v>0</v>
      </c>
      <c r="M52" s="99">
        <v>0</v>
      </c>
      <c r="N52" s="97" t="s">
        <v>539</v>
      </c>
      <c r="O52" s="99" t="s">
        <v>539</v>
      </c>
      <c r="P52" s="99">
        <v>0</v>
      </c>
      <c r="Q52" s="99">
        <v>0</v>
      </c>
      <c r="R52" s="99" t="s">
        <v>539</v>
      </c>
      <c r="S52" s="99" t="s">
        <v>539</v>
      </c>
      <c r="T52" s="97">
        <v>0</v>
      </c>
      <c r="U52" s="99">
        <v>0</v>
      </c>
      <c r="V52" s="99" t="s">
        <v>539</v>
      </c>
      <c r="W52" s="99" t="s">
        <v>539</v>
      </c>
      <c r="X52" s="97">
        <v>0</v>
      </c>
      <c r="Y52" s="99">
        <v>0</v>
      </c>
      <c r="Z52" s="97" t="s">
        <v>539</v>
      </c>
      <c r="AA52" s="99" t="s">
        <v>539</v>
      </c>
      <c r="AB52" s="97">
        <f t="shared" si="1"/>
        <v>0</v>
      </c>
      <c r="AC52" s="97" t="s">
        <v>539</v>
      </c>
    </row>
    <row r="53" spans="1:29" x14ac:dyDescent="0.25">
      <c r="A53" s="41" t="s">
        <v>132</v>
      </c>
      <c r="B53" s="25" t="s">
        <v>126</v>
      </c>
      <c r="C53" s="97">
        <f>'6.2. Паспорт фин осв ввод факт'!C53</f>
        <v>0</v>
      </c>
      <c r="D53" s="97">
        <f>'6.2. Паспорт фин осв ввод факт'!D53</f>
        <v>0</v>
      </c>
      <c r="E53" s="97">
        <v>0</v>
      </c>
      <c r="F53" s="97">
        <v>0</v>
      </c>
      <c r="G53" s="99">
        <v>0</v>
      </c>
      <c r="H53" s="97">
        <f>C53</f>
        <v>0</v>
      </c>
      <c r="I53" s="99">
        <v>0</v>
      </c>
      <c r="J53" s="99" t="s">
        <v>539</v>
      </c>
      <c r="K53" s="99" t="s">
        <v>539</v>
      </c>
      <c r="L53" s="99">
        <f t="shared" ref="L53:L56" si="3">C53</f>
        <v>0</v>
      </c>
      <c r="M53" s="99">
        <v>0</v>
      </c>
      <c r="N53" s="97" t="s">
        <v>539</v>
      </c>
      <c r="O53" s="99" t="s">
        <v>539</v>
      </c>
      <c r="P53" s="99">
        <f t="shared" si="2"/>
        <v>0</v>
      </c>
      <c r="Q53" s="99">
        <v>0</v>
      </c>
      <c r="R53" s="99" t="s">
        <v>539</v>
      </c>
      <c r="S53" s="99" t="s">
        <v>539</v>
      </c>
      <c r="T53" s="97">
        <v>0</v>
      </c>
      <c r="U53" s="99">
        <v>0</v>
      </c>
      <c r="V53" s="99" t="s">
        <v>539</v>
      </c>
      <c r="W53" s="99" t="s">
        <v>539</v>
      </c>
      <c r="X53" s="97">
        <v>0</v>
      </c>
      <c r="Y53" s="99">
        <v>0</v>
      </c>
      <c r="Z53" s="97" t="s">
        <v>539</v>
      </c>
      <c r="AA53" s="99" t="s">
        <v>539</v>
      </c>
      <c r="AB53" s="97">
        <f t="shared" si="1"/>
        <v>0</v>
      </c>
      <c r="AC53" s="97" t="s">
        <v>539</v>
      </c>
    </row>
    <row r="54" spans="1:29" x14ac:dyDescent="0.25">
      <c r="A54" s="41" t="s">
        <v>131</v>
      </c>
      <c r="B54" s="169" t="s">
        <v>125</v>
      </c>
      <c r="C54" s="97">
        <f>C45</f>
        <v>1.05</v>
      </c>
      <c r="D54" s="97">
        <f>D45</f>
        <v>1.05</v>
      </c>
      <c r="E54" s="97">
        <v>1.05</v>
      </c>
      <c r="F54" s="97">
        <v>1.05</v>
      </c>
      <c r="G54" s="99">
        <v>1.05</v>
      </c>
      <c r="H54" s="97">
        <v>0</v>
      </c>
      <c r="I54" s="99">
        <v>0</v>
      </c>
      <c r="J54" s="99" t="s">
        <v>539</v>
      </c>
      <c r="K54" s="99" t="s">
        <v>539</v>
      </c>
      <c r="L54" s="99">
        <v>0</v>
      </c>
      <c r="M54" s="99">
        <v>0</v>
      </c>
      <c r="N54" s="97" t="s">
        <v>539</v>
      </c>
      <c r="O54" s="99" t="s">
        <v>539</v>
      </c>
      <c r="P54" s="99">
        <f t="shared" si="2"/>
        <v>1.05</v>
      </c>
      <c r="Q54" s="99">
        <v>0</v>
      </c>
      <c r="R54" s="99" t="s">
        <v>539</v>
      </c>
      <c r="S54" s="99" t="s">
        <v>539</v>
      </c>
      <c r="T54" s="97">
        <v>0</v>
      </c>
      <c r="U54" s="99">
        <v>0</v>
      </c>
      <c r="V54" s="99" t="s">
        <v>539</v>
      </c>
      <c r="W54" s="99" t="s">
        <v>539</v>
      </c>
      <c r="X54" s="97">
        <v>0</v>
      </c>
      <c r="Y54" s="99">
        <v>0</v>
      </c>
      <c r="Z54" s="97" t="s">
        <v>539</v>
      </c>
      <c r="AA54" s="99" t="s">
        <v>539</v>
      </c>
      <c r="AB54" s="97">
        <f t="shared" si="1"/>
        <v>1.05</v>
      </c>
      <c r="AC54" s="97" t="s">
        <v>539</v>
      </c>
    </row>
    <row r="55" spans="1:29" x14ac:dyDescent="0.25">
      <c r="A55" s="41" t="s">
        <v>130</v>
      </c>
      <c r="B55" s="169" t="s">
        <v>124</v>
      </c>
      <c r="C55" s="97">
        <f>'6.2. Паспорт фин осв ввод факт'!C55</f>
        <v>0</v>
      </c>
      <c r="D55" s="97">
        <f>'6.2. Паспорт фин осв ввод факт'!D55</f>
        <v>0</v>
      </c>
      <c r="E55" s="97">
        <v>0</v>
      </c>
      <c r="F55" s="97">
        <v>0</v>
      </c>
      <c r="G55" s="99">
        <v>0</v>
      </c>
      <c r="H55" s="97">
        <f>C55</f>
        <v>0</v>
      </c>
      <c r="I55" s="99">
        <v>0</v>
      </c>
      <c r="J55" s="99" t="s">
        <v>539</v>
      </c>
      <c r="K55" s="99" t="s">
        <v>539</v>
      </c>
      <c r="L55" s="99">
        <f t="shared" si="3"/>
        <v>0</v>
      </c>
      <c r="M55" s="99">
        <v>0</v>
      </c>
      <c r="N55" s="97" t="s">
        <v>539</v>
      </c>
      <c r="O55" s="99" t="s">
        <v>539</v>
      </c>
      <c r="P55" s="99">
        <f t="shared" si="2"/>
        <v>0</v>
      </c>
      <c r="Q55" s="99">
        <v>0</v>
      </c>
      <c r="R55" s="99" t="s">
        <v>539</v>
      </c>
      <c r="S55" s="99" t="s">
        <v>539</v>
      </c>
      <c r="T55" s="97">
        <v>0</v>
      </c>
      <c r="U55" s="99">
        <v>0</v>
      </c>
      <c r="V55" s="99" t="s">
        <v>539</v>
      </c>
      <c r="W55" s="99" t="s">
        <v>539</v>
      </c>
      <c r="X55" s="97">
        <v>0</v>
      </c>
      <c r="Y55" s="99">
        <v>0</v>
      </c>
      <c r="Z55" s="97" t="s">
        <v>539</v>
      </c>
      <c r="AA55" s="99" t="s">
        <v>539</v>
      </c>
      <c r="AB55" s="97">
        <f t="shared" si="1"/>
        <v>0</v>
      </c>
      <c r="AC55" s="97" t="s">
        <v>539</v>
      </c>
    </row>
    <row r="56" spans="1:29" x14ac:dyDescent="0.25">
      <c r="A56" s="41" t="s">
        <v>129</v>
      </c>
      <c r="B56" s="169" t="s">
        <v>123</v>
      </c>
      <c r="C56" s="97">
        <f>'6.2. Паспорт фин осв ввод факт'!C56</f>
        <v>0</v>
      </c>
      <c r="D56" s="97">
        <f>'6.2. Паспорт фин осв ввод факт'!D56</f>
        <v>0</v>
      </c>
      <c r="E56" s="97">
        <v>0</v>
      </c>
      <c r="F56" s="97">
        <v>0</v>
      </c>
      <c r="G56" s="99">
        <v>0</v>
      </c>
      <c r="H56" s="97">
        <f>C56</f>
        <v>0</v>
      </c>
      <c r="I56" s="99">
        <v>0</v>
      </c>
      <c r="J56" s="99" t="s">
        <v>539</v>
      </c>
      <c r="K56" s="99" t="s">
        <v>539</v>
      </c>
      <c r="L56" s="99">
        <f t="shared" si="3"/>
        <v>0</v>
      </c>
      <c r="M56" s="99">
        <v>0</v>
      </c>
      <c r="N56" s="97" t="s">
        <v>539</v>
      </c>
      <c r="O56" s="99" t="s">
        <v>539</v>
      </c>
      <c r="P56" s="99">
        <f t="shared" si="2"/>
        <v>0</v>
      </c>
      <c r="Q56" s="99">
        <v>0</v>
      </c>
      <c r="R56" s="99" t="s">
        <v>539</v>
      </c>
      <c r="S56" s="99" t="s">
        <v>539</v>
      </c>
      <c r="T56" s="97">
        <v>0</v>
      </c>
      <c r="U56" s="99">
        <v>0</v>
      </c>
      <c r="V56" s="99" t="s">
        <v>539</v>
      </c>
      <c r="W56" s="99" t="s">
        <v>539</v>
      </c>
      <c r="X56" s="97">
        <v>0</v>
      </c>
      <c r="Y56" s="99">
        <v>0</v>
      </c>
      <c r="Z56" s="97" t="s">
        <v>539</v>
      </c>
      <c r="AA56" s="99" t="s">
        <v>539</v>
      </c>
      <c r="AB56" s="97">
        <f t="shared" si="1"/>
        <v>0</v>
      </c>
      <c r="AC56" s="97" t="s">
        <v>539</v>
      </c>
    </row>
    <row r="57" spans="1:29" ht="18.75" x14ac:dyDescent="0.25">
      <c r="A57" s="41" t="s">
        <v>128</v>
      </c>
      <c r="B57" s="169" t="s">
        <v>547</v>
      </c>
      <c r="C57" s="97">
        <f>C42</f>
        <v>19</v>
      </c>
      <c r="D57" s="97">
        <f>D42</f>
        <v>19</v>
      </c>
      <c r="E57" s="97">
        <v>19</v>
      </c>
      <c r="F57" s="97">
        <v>19</v>
      </c>
      <c r="G57" s="99">
        <v>19</v>
      </c>
      <c r="H57" s="97">
        <v>0</v>
      </c>
      <c r="I57" s="99">
        <v>0</v>
      </c>
      <c r="J57" s="99" t="s">
        <v>539</v>
      </c>
      <c r="K57" s="99" t="s">
        <v>539</v>
      </c>
      <c r="L57" s="99">
        <v>0</v>
      </c>
      <c r="M57" s="99">
        <v>0</v>
      </c>
      <c r="N57" s="97" t="s">
        <v>539</v>
      </c>
      <c r="O57" s="99" t="s">
        <v>539</v>
      </c>
      <c r="P57" s="99">
        <v>0</v>
      </c>
      <c r="Q57" s="99">
        <v>0</v>
      </c>
      <c r="R57" s="99" t="s">
        <v>539</v>
      </c>
      <c r="S57" s="99" t="s">
        <v>539</v>
      </c>
      <c r="T57" s="97">
        <v>0</v>
      </c>
      <c r="U57" s="99">
        <v>0</v>
      </c>
      <c r="V57" s="99" t="s">
        <v>539</v>
      </c>
      <c r="W57" s="99" t="s">
        <v>539</v>
      </c>
      <c r="X57" s="97">
        <v>0</v>
      </c>
      <c r="Y57" s="99">
        <v>0</v>
      </c>
      <c r="Z57" s="97" t="s">
        <v>539</v>
      </c>
      <c r="AA57" s="99" t="s">
        <v>539</v>
      </c>
      <c r="AB57" s="97">
        <f t="shared" si="1"/>
        <v>0</v>
      </c>
      <c r="AC57" s="97" t="s">
        <v>539</v>
      </c>
    </row>
    <row r="58" spans="1:29" s="291" customFormat="1" ht="36.75" customHeight="1" x14ac:dyDescent="0.25">
      <c r="A58" s="44" t="s">
        <v>56</v>
      </c>
      <c r="B58" s="170" t="s">
        <v>207</v>
      </c>
      <c r="C58" s="97">
        <v>0</v>
      </c>
      <c r="D58" s="97">
        <v>0</v>
      </c>
      <c r="E58" s="97">
        <v>0</v>
      </c>
      <c r="F58" s="97">
        <v>0</v>
      </c>
      <c r="G58" s="99">
        <v>0</v>
      </c>
      <c r="H58" s="97">
        <f>C58</f>
        <v>0</v>
      </c>
      <c r="I58" s="97">
        <v>0</v>
      </c>
      <c r="J58" s="99" t="s">
        <v>539</v>
      </c>
      <c r="K58" s="99" t="s">
        <v>539</v>
      </c>
      <c r="L58" s="97">
        <f>'6.2. Паспорт фин осв ввод факт'!X58</f>
        <v>0</v>
      </c>
      <c r="M58" s="97">
        <v>0</v>
      </c>
      <c r="N58" s="97" t="s">
        <v>539</v>
      </c>
      <c r="O58" s="97" t="s">
        <v>539</v>
      </c>
      <c r="P58" s="99">
        <f>C58</f>
        <v>0</v>
      </c>
      <c r="Q58" s="97">
        <v>0</v>
      </c>
      <c r="R58" s="99" t="s">
        <v>539</v>
      </c>
      <c r="S58" s="99" t="s">
        <v>539</v>
      </c>
      <c r="T58" s="97">
        <v>0</v>
      </c>
      <c r="U58" s="97">
        <v>0</v>
      </c>
      <c r="V58" s="97" t="s">
        <v>539</v>
      </c>
      <c r="W58" s="97" t="s">
        <v>539</v>
      </c>
      <c r="X58" s="97">
        <v>0</v>
      </c>
      <c r="Y58" s="97">
        <v>0</v>
      </c>
      <c r="Z58" s="97" t="s">
        <v>539</v>
      </c>
      <c r="AA58" s="97" t="s">
        <v>539</v>
      </c>
      <c r="AB58" s="97">
        <f t="shared" si="1"/>
        <v>0</v>
      </c>
      <c r="AC58" s="97" t="s">
        <v>539</v>
      </c>
    </row>
    <row r="59" spans="1:29" s="291" customFormat="1" x14ac:dyDescent="0.25">
      <c r="A59" s="44" t="s">
        <v>54</v>
      </c>
      <c r="B59" s="43" t="s">
        <v>127</v>
      </c>
      <c r="C59" s="97">
        <v>0</v>
      </c>
      <c r="D59" s="97">
        <v>0</v>
      </c>
      <c r="E59" s="97">
        <v>0</v>
      </c>
      <c r="F59" s="97">
        <v>0</v>
      </c>
      <c r="G59" s="99">
        <v>0</v>
      </c>
      <c r="H59" s="97">
        <f>C59</f>
        <v>0</v>
      </c>
      <c r="I59" s="97">
        <v>0</v>
      </c>
      <c r="J59" s="99" t="s">
        <v>539</v>
      </c>
      <c r="K59" s="99" t="s">
        <v>539</v>
      </c>
      <c r="L59" s="97">
        <f>'6.2. Паспорт фин осв ввод факт'!X59</f>
        <v>0</v>
      </c>
      <c r="M59" s="97">
        <v>0</v>
      </c>
      <c r="N59" s="97" t="s">
        <v>539</v>
      </c>
      <c r="O59" s="97" t="s">
        <v>539</v>
      </c>
      <c r="P59" s="99">
        <f t="shared" si="2"/>
        <v>0</v>
      </c>
      <c r="Q59" s="97">
        <v>0</v>
      </c>
      <c r="R59" s="99" t="s">
        <v>539</v>
      </c>
      <c r="S59" s="99" t="s">
        <v>539</v>
      </c>
      <c r="T59" s="97">
        <v>0</v>
      </c>
      <c r="U59" s="97">
        <v>0</v>
      </c>
      <c r="V59" s="97" t="s">
        <v>539</v>
      </c>
      <c r="W59" s="97" t="s">
        <v>539</v>
      </c>
      <c r="X59" s="97">
        <v>0</v>
      </c>
      <c r="Y59" s="97">
        <v>0</v>
      </c>
      <c r="Z59" s="97" t="s">
        <v>539</v>
      </c>
      <c r="AA59" s="97" t="s">
        <v>539</v>
      </c>
      <c r="AB59" s="97">
        <f t="shared" si="1"/>
        <v>0</v>
      </c>
      <c r="AC59" s="97" t="s">
        <v>539</v>
      </c>
    </row>
    <row r="60" spans="1:29" x14ac:dyDescent="0.25">
      <c r="A60" s="41" t="s">
        <v>201</v>
      </c>
      <c r="B60" s="171" t="s">
        <v>147</v>
      </c>
      <c r="C60" s="97">
        <v>0</v>
      </c>
      <c r="D60" s="97">
        <v>0</v>
      </c>
      <c r="E60" s="97">
        <v>0</v>
      </c>
      <c r="F60" s="97">
        <v>0</v>
      </c>
      <c r="G60" s="99">
        <v>0</v>
      </c>
      <c r="H60" s="97">
        <f>C60</f>
        <v>0</v>
      </c>
      <c r="I60" s="99">
        <v>0</v>
      </c>
      <c r="J60" s="99" t="s">
        <v>539</v>
      </c>
      <c r="K60" s="99" t="s">
        <v>539</v>
      </c>
      <c r="L60" s="99">
        <f>'6.2. Паспорт фин осв ввод факт'!X60</f>
        <v>0</v>
      </c>
      <c r="M60" s="99">
        <v>0</v>
      </c>
      <c r="N60" s="97" t="s">
        <v>539</v>
      </c>
      <c r="O60" s="99" t="s">
        <v>539</v>
      </c>
      <c r="P60" s="99">
        <f t="shared" si="2"/>
        <v>0</v>
      </c>
      <c r="Q60" s="99">
        <v>0</v>
      </c>
      <c r="R60" s="99" t="s">
        <v>539</v>
      </c>
      <c r="S60" s="99" t="s">
        <v>539</v>
      </c>
      <c r="T60" s="97">
        <v>0</v>
      </c>
      <c r="U60" s="99">
        <v>0</v>
      </c>
      <c r="V60" s="99" t="s">
        <v>539</v>
      </c>
      <c r="W60" s="99" t="s">
        <v>539</v>
      </c>
      <c r="X60" s="97">
        <v>0</v>
      </c>
      <c r="Y60" s="99">
        <v>0</v>
      </c>
      <c r="Z60" s="97" t="s">
        <v>539</v>
      </c>
      <c r="AA60" s="99" t="s">
        <v>539</v>
      </c>
      <c r="AB60" s="97">
        <f t="shared" si="1"/>
        <v>0</v>
      </c>
      <c r="AC60" s="97" t="s">
        <v>539</v>
      </c>
    </row>
    <row r="61" spans="1:29" x14ac:dyDescent="0.25">
      <c r="A61" s="41" t="s">
        <v>202</v>
      </c>
      <c r="B61" s="171" t="s">
        <v>145</v>
      </c>
      <c r="C61" s="97">
        <v>0.18</v>
      </c>
      <c r="D61" s="97">
        <v>0.18</v>
      </c>
      <c r="E61" s="97">
        <v>0.18</v>
      </c>
      <c r="F61" s="97">
        <v>0.18</v>
      </c>
      <c r="G61" s="99">
        <v>0.18</v>
      </c>
      <c r="H61" s="97">
        <v>0</v>
      </c>
      <c r="I61" s="99">
        <v>0</v>
      </c>
      <c r="J61" s="99" t="s">
        <v>539</v>
      </c>
      <c r="K61" s="99" t="s">
        <v>539</v>
      </c>
      <c r="L61" s="99">
        <v>0</v>
      </c>
      <c r="M61" s="99">
        <v>0</v>
      </c>
      <c r="N61" s="97" t="s">
        <v>539</v>
      </c>
      <c r="O61" s="99" t="s">
        <v>539</v>
      </c>
      <c r="P61" s="99">
        <v>0</v>
      </c>
      <c r="Q61" s="99">
        <v>0</v>
      </c>
      <c r="R61" s="99" t="s">
        <v>539</v>
      </c>
      <c r="S61" s="99" t="s">
        <v>539</v>
      </c>
      <c r="T61" s="97">
        <v>0</v>
      </c>
      <c r="U61" s="99">
        <v>0</v>
      </c>
      <c r="V61" s="99" t="s">
        <v>539</v>
      </c>
      <c r="W61" s="99" t="s">
        <v>539</v>
      </c>
      <c r="X61" s="97">
        <v>0</v>
      </c>
      <c r="Y61" s="99">
        <v>0</v>
      </c>
      <c r="Z61" s="97" t="s">
        <v>539</v>
      </c>
      <c r="AA61" s="99" t="s">
        <v>539</v>
      </c>
      <c r="AB61" s="97">
        <f t="shared" si="1"/>
        <v>0</v>
      </c>
      <c r="AC61" s="97" t="s">
        <v>539</v>
      </c>
    </row>
    <row r="62" spans="1:29" x14ac:dyDescent="0.25">
      <c r="A62" s="41" t="s">
        <v>203</v>
      </c>
      <c r="B62" s="171" t="s">
        <v>143</v>
      </c>
      <c r="C62" s="97">
        <v>0</v>
      </c>
      <c r="D62" s="97">
        <v>0</v>
      </c>
      <c r="E62" s="97">
        <v>0</v>
      </c>
      <c r="F62" s="97">
        <v>0</v>
      </c>
      <c r="G62" s="99">
        <v>0</v>
      </c>
      <c r="H62" s="97">
        <f>C62</f>
        <v>0</v>
      </c>
      <c r="I62" s="99">
        <v>0</v>
      </c>
      <c r="J62" s="99" t="s">
        <v>539</v>
      </c>
      <c r="K62" s="99" t="s">
        <v>539</v>
      </c>
      <c r="L62" s="99">
        <f>'6.2. Паспорт фин осв ввод факт'!X62</f>
        <v>0</v>
      </c>
      <c r="M62" s="99">
        <v>0</v>
      </c>
      <c r="N62" s="97" t="s">
        <v>539</v>
      </c>
      <c r="O62" s="99" t="s">
        <v>539</v>
      </c>
      <c r="P62" s="99">
        <f>C62</f>
        <v>0</v>
      </c>
      <c r="Q62" s="99">
        <v>0</v>
      </c>
      <c r="R62" s="99" t="s">
        <v>539</v>
      </c>
      <c r="S62" s="99" t="s">
        <v>539</v>
      </c>
      <c r="T62" s="97">
        <v>0</v>
      </c>
      <c r="U62" s="99">
        <v>0</v>
      </c>
      <c r="V62" s="99" t="s">
        <v>539</v>
      </c>
      <c r="W62" s="99" t="s">
        <v>539</v>
      </c>
      <c r="X62" s="97">
        <v>0</v>
      </c>
      <c r="Y62" s="99">
        <v>0</v>
      </c>
      <c r="Z62" s="97" t="s">
        <v>539</v>
      </c>
      <c r="AA62" s="99" t="s">
        <v>539</v>
      </c>
      <c r="AB62" s="97">
        <f t="shared" si="1"/>
        <v>0</v>
      </c>
      <c r="AC62" s="97" t="s">
        <v>539</v>
      </c>
    </row>
    <row r="63" spans="1:29" x14ac:dyDescent="0.25">
      <c r="A63" s="41" t="s">
        <v>204</v>
      </c>
      <c r="B63" s="171" t="s">
        <v>206</v>
      </c>
      <c r="C63" s="97">
        <v>0</v>
      </c>
      <c r="D63" s="97">
        <v>0</v>
      </c>
      <c r="E63" s="97">
        <v>0</v>
      </c>
      <c r="F63" s="97">
        <v>0</v>
      </c>
      <c r="G63" s="99">
        <v>0</v>
      </c>
      <c r="H63" s="97">
        <f>C63</f>
        <v>0</v>
      </c>
      <c r="I63" s="99">
        <v>0</v>
      </c>
      <c r="J63" s="99" t="s">
        <v>539</v>
      </c>
      <c r="K63" s="99" t="s">
        <v>539</v>
      </c>
      <c r="L63" s="99">
        <f>'6.2. Паспорт фин осв ввод факт'!X63</f>
        <v>0</v>
      </c>
      <c r="M63" s="99">
        <v>0</v>
      </c>
      <c r="N63" s="97" t="s">
        <v>539</v>
      </c>
      <c r="O63" s="99" t="s">
        <v>539</v>
      </c>
      <c r="P63" s="99">
        <f t="shared" si="2"/>
        <v>0</v>
      </c>
      <c r="Q63" s="99">
        <v>0</v>
      </c>
      <c r="R63" s="99" t="s">
        <v>539</v>
      </c>
      <c r="S63" s="99" t="s">
        <v>539</v>
      </c>
      <c r="T63" s="97">
        <v>0</v>
      </c>
      <c r="U63" s="99">
        <v>0</v>
      </c>
      <c r="V63" s="99" t="s">
        <v>539</v>
      </c>
      <c r="W63" s="99" t="s">
        <v>539</v>
      </c>
      <c r="X63" s="97">
        <v>0</v>
      </c>
      <c r="Y63" s="99">
        <v>0</v>
      </c>
      <c r="Z63" s="97" t="s">
        <v>539</v>
      </c>
      <c r="AA63" s="99" t="s">
        <v>539</v>
      </c>
      <c r="AB63" s="97">
        <f t="shared" si="1"/>
        <v>0</v>
      </c>
      <c r="AC63" s="97" t="s">
        <v>539</v>
      </c>
    </row>
    <row r="64" spans="1:29" ht="18.75" x14ac:dyDescent="0.25">
      <c r="A64" s="41" t="s">
        <v>205</v>
      </c>
      <c r="B64" s="169" t="s">
        <v>547</v>
      </c>
      <c r="C64" s="97">
        <v>19</v>
      </c>
      <c r="D64" s="97">
        <v>19</v>
      </c>
      <c r="E64" s="97">
        <v>19</v>
      </c>
      <c r="F64" s="97">
        <v>19</v>
      </c>
      <c r="G64" s="99">
        <v>19</v>
      </c>
      <c r="H64" s="97">
        <v>0</v>
      </c>
      <c r="I64" s="99">
        <v>0</v>
      </c>
      <c r="J64" s="99" t="s">
        <v>539</v>
      </c>
      <c r="K64" s="99" t="s">
        <v>539</v>
      </c>
      <c r="L64" s="99">
        <v>0</v>
      </c>
      <c r="M64" s="99">
        <v>0</v>
      </c>
      <c r="N64" s="97" t="s">
        <v>539</v>
      </c>
      <c r="O64" s="99" t="s">
        <v>539</v>
      </c>
      <c r="P64" s="99">
        <v>0</v>
      </c>
      <c r="Q64" s="99">
        <v>0</v>
      </c>
      <c r="R64" s="99" t="s">
        <v>539</v>
      </c>
      <c r="S64" s="99" t="s">
        <v>539</v>
      </c>
      <c r="T64" s="97">
        <v>0</v>
      </c>
      <c r="U64" s="99">
        <v>0</v>
      </c>
      <c r="V64" s="99" t="s">
        <v>539</v>
      </c>
      <c r="W64" s="99" t="s">
        <v>539</v>
      </c>
      <c r="X64" s="97">
        <v>0</v>
      </c>
      <c r="Y64" s="99">
        <v>0</v>
      </c>
      <c r="Z64" s="97" t="s">
        <v>539</v>
      </c>
      <c r="AA64" s="99" t="s">
        <v>539</v>
      </c>
      <c r="AB64" s="97">
        <f t="shared" si="1"/>
        <v>0</v>
      </c>
      <c r="AC64" s="97" t="s">
        <v>539</v>
      </c>
    </row>
    <row r="65" spans="1:28" x14ac:dyDescent="0.25">
      <c r="A65" s="38"/>
      <c r="B65" s="33"/>
      <c r="C65" s="33"/>
      <c r="D65" s="33"/>
      <c r="E65" s="33"/>
      <c r="F65" s="292">
        <f>F54-F61</f>
        <v>0.87000000000000011</v>
      </c>
      <c r="G65" s="33"/>
    </row>
    <row r="66" spans="1:28" ht="54" customHeight="1" x14ac:dyDescent="0.25">
      <c r="B66" s="367"/>
      <c r="C66" s="367"/>
      <c r="D66" s="367"/>
      <c r="E66" s="367"/>
      <c r="F66" s="367"/>
      <c r="G66" s="35"/>
      <c r="H66" s="37"/>
      <c r="I66" s="290">
        <f>D54-D61</f>
        <v>0.87000000000000011</v>
      </c>
      <c r="J66" s="37"/>
      <c r="K66" s="37"/>
      <c r="L66" s="37"/>
      <c r="M66" s="37"/>
      <c r="N66" s="37"/>
      <c r="O66" s="37"/>
      <c r="P66" s="37"/>
      <c r="Q66" s="37"/>
      <c r="R66" s="37"/>
      <c r="S66" s="37"/>
      <c r="T66" s="37"/>
      <c r="U66" s="37"/>
      <c r="V66" s="37"/>
      <c r="W66" s="37"/>
      <c r="X66" s="37"/>
      <c r="Y66" s="37"/>
      <c r="Z66" s="37"/>
      <c r="AA66" s="37"/>
      <c r="AB66" s="37"/>
    </row>
    <row r="68" spans="1:28" ht="50.25" customHeight="1" x14ac:dyDescent="0.25">
      <c r="B68" s="367"/>
      <c r="C68" s="367"/>
      <c r="D68" s="367"/>
      <c r="E68" s="367"/>
      <c r="F68" s="367"/>
      <c r="G68" s="35"/>
    </row>
    <row r="70" spans="1:28" ht="36.75" customHeight="1" x14ac:dyDescent="0.25">
      <c r="B70" s="367"/>
      <c r="C70" s="367"/>
      <c r="D70" s="367"/>
      <c r="E70" s="367"/>
      <c r="F70" s="367"/>
      <c r="G70" s="35"/>
    </row>
    <row r="72" spans="1:28" ht="51" customHeight="1" x14ac:dyDescent="0.25">
      <c r="B72" s="367"/>
      <c r="C72" s="367"/>
      <c r="D72" s="367"/>
      <c r="E72" s="367"/>
      <c r="F72" s="367"/>
      <c r="G72" s="35"/>
    </row>
    <row r="73" spans="1:28" ht="32.25" customHeight="1" x14ac:dyDescent="0.25">
      <c r="B73" s="367"/>
      <c r="C73" s="367"/>
      <c r="D73" s="367"/>
      <c r="E73" s="367"/>
      <c r="F73" s="367"/>
      <c r="G73" s="35"/>
    </row>
    <row r="74" spans="1:28" ht="51.75" customHeight="1" x14ac:dyDescent="0.25">
      <c r="B74" s="367"/>
      <c r="C74" s="367"/>
      <c r="D74" s="367"/>
      <c r="E74" s="367"/>
      <c r="F74" s="367"/>
      <c r="G74" s="35"/>
    </row>
    <row r="75" spans="1:28" ht="21.75" customHeight="1" x14ac:dyDescent="0.25">
      <c r="B75" s="373"/>
      <c r="C75" s="373"/>
      <c r="D75" s="373"/>
      <c r="E75" s="373"/>
      <c r="F75" s="373"/>
      <c r="G75" s="34"/>
    </row>
    <row r="76" spans="1:28" ht="23.25" customHeight="1" x14ac:dyDescent="0.25"/>
    <row r="77" spans="1:28" ht="18.75" customHeight="1" x14ac:dyDescent="0.25">
      <c r="B77" s="366"/>
      <c r="C77" s="366"/>
      <c r="D77" s="366"/>
      <c r="E77" s="366"/>
      <c r="F77" s="366"/>
      <c r="G77" s="33"/>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B20:AC21"/>
    <mergeCell ref="H21:I21"/>
    <mergeCell ref="J21:K21"/>
    <mergeCell ref="L21:M21"/>
    <mergeCell ref="N21:O21"/>
    <mergeCell ref="P21:Q21"/>
    <mergeCell ref="R21:S21"/>
    <mergeCell ref="T21:U21"/>
    <mergeCell ref="P20:S20"/>
    <mergeCell ref="B75:F75"/>
    <mergeCell ref="B77:F77"/>
    <mergeCell ref="B66:F66"/>
    <mergeCell ref="B68:F68"/>
    <mergeCell ref="B72:F72"/>
    <mergeCell ref="B73:F73"/>
    <mergeCell ref="B74:F74"/>
    <mergeCell ref="B70:F70"/>
  </mergeCells>
  <conditionalFormatting sqref="C24:D24">
    <cfRule type="cellIs" dxfId="4" priority="15" operator="greaterThan">
      <formula>0</formula>
    </cfRule>
  </conditionalFormatting>
  <conditionalFormatting sqref="C30:D31">
    <cfRule type="cellIs" dxfId="3" priority="18" operator="greaterThan">
      <formula>0</formula>
    </cfRule>
  </conditionalFormatting>
  <conditionalFormatting sqref="C24:AC64">
    <cfRule type="cellIs" dxfId="2" priority="1" operator="notEqual">
      <formula>0</formula>
    </cfRule>
  </conditionalFormatting>
  <conditionalFormatting sqref="F24:AA24 R24:S64 J25:K64 T25:T64">
    <cfRule type="cellIs" dxfId="1" priority="2" operator="greaterThan">
      <formula>0</formula>
    </cfRule>
  </conditionalFormatting>
  <conditionalFormatting sqref="P25:P28">
    <cfRule type="cellIs" dxfId="0" priority="67" operator="greaterThan">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R1" zoomScale="70" zoomScaleSheetLayoutView="70" workbookViewId="0">
      <selection activeCell="N26" sqref="N26"/>
    </sheetView>
  </sheetViews>
  <sheetFormatPr defaultColWidth="9.140625" defaultRowHeight="15" x14ac:dyDescent="0.25"/>
  <cols>
    <col min="1" max="1" width="6.140625" style="140" customWidth="1"/>
    <col min="2" max="2" width="23.140625" style="126" customWidth="1"/>
    <col min="3" max="3" width="13.85546875" style="126" customWidth="1"/>
    <col min="4" max="4" width="15.140625" style="126" customWidth="1"/>
    <col min="5" max="12" width="7.7109375" style="126" customWidth="1"/>
    <col min="13" max="13" width="18" style="126" customWidth="1"/>
    <col min="14" max="14" width="53.28515625" style="126" customWidth="1"/>
    <col min="15" max="15" width="24.5703125" style="126" customWidth="1"/>
    <col min="16" max="16" width="23.140625" style="126" customWidth="1"/>
    <col min="17" max="17" width="21.85546875" style="126" customWidth="1"/>
    <col min="18" max="18" width="20.140625" style="126" customWidth="1"/>
    <col min="19" max="19" width="14.28515625" style="126" customWidth="1"/>
    <col min="20" max="20" width="12.42578125" style="126" customWidth="1"/>
    <col min="21" max="21" width="11.42578125" style="126" customWidth="1"/>
    <col min="22" max="22" width="12.7109375" style="126" customWidth="1"/>
    <col min="23" max="23" width="27.85546875" style="126" customWidth="1"/>
    <col min="24" max="24" width="21.28515625" style="126" customWidth="1"/>
    <col min="25" max="25" width="21.140625" style="126" customWidth="1"/>
    <col min="26" max="26" width="7.7109375" style="126" customWidth="1"/>
    <col min="27" max="27" width="23.28515625" style="126" customWidth="1"/>
    <col min="28" max="28" width="21.28515625" style="126" customWidth="1"/>
    <col min="29" max="29" width="28.5703125" style="126" customWidth="1"/>
    <col min="30" max="30" width="17.42578125" style="126" customWidth="1"/>
    <col min="31" max="31" width="25.7109375" style="126" customWidth="1"/>
    <col min="32" max="32" width="17.42578125" style="126" customWidth="1"/>
    <col min="33" max="33" width="17.28515625" style="126" customWidth="1"/>
    <col min="34" max="34" width="14.7109375" style="126" customWidth="1"/>
    <col min="35" max="35" width="15.42578125" style="126" customWidth="1"/>
    <col min="36" max="36" width="20" style="126" customWidth="1"/>
    <col min="37" max="37" width="19.85546875" style="126" customWidth="1"/>
    <col min="38" max="38" width="26.7109375" style="126" customWidth="1"/>
    <col min="39" max="39" width="20.140625" style="126" customWidth="1"/>
    <col min="40" max="40" width="16.140625" style="126" customWidth="1"/>
    <col min="41" max="41" width="16.5703125" style="126" customWidth="1"/>
    <col min="42" max="42" width="16.28515625" style="126" customWidth="1"/>
    <col min="43" max="43" width="17.140625" style="126" customWidth="1"/>
    <col min="44" max="44" width="18" style="126" customWidth="1"/>
    <col min="45" max="45" width="16.140625" style="126" customWidth="1"/>
    <col min="46" max="46" width="18" style="126" customWidth="1"/>
    <col min="47" max="47" width="16.28515625" style="126" customWidth="1"/>
    <col min="48" max="48" width="19.7109375" style="126" customWidth="1"/>
    <col min="49" max="16384" width="9.140625" style="126"/>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302" t="str">
        <f>'1. паспорт местоположение'!A5:C5</f>
        <v>Год раскрытия информации: 2024  год</v>
      </c>
      <c r="B5" s="302"/>
      <c r="C5" s="302"/>
      <c r="D5" s="302"/>
      <c r="E5" s="302"/>
      <c r="F5" s="302"/>
      <c r="G5" s="302"/>
      <c r="H5" s="302"/>
      <c r="I5" s="302"/>
      <c r="J5" s="302"/>
      <c r="K5" s="302"/>
      <c r="L5" s="302"/>
      <c r="M5" s="302"/>
      <c r="N5" s="302"/>
      <c r="O5" s="302"/>
      <c r="P5" s="302"/>
      <c r="Q5" s="302"/>
      <c r="R5" s="302"/>
      <c r="S5" s="302"/>
      <c r="T5" s="302"/>
      <c r="U5" s="302"/>
      <c r="V5" s="302"/>
      <c r="W5" s="302"/>
      <c r="X5" s="302"/>
      <c r="Y5" s="302"/>
      <c r="Z5" s="302"/>
      <c r="AA5" s="302"/>
      <c r="AB5" s="302"/>
      <c r="AC5" s="302"/>
      <c r="AD5" s="302"/>
      <c r="AE5" s="302"/>
      <c r="AF5" s="302"/>
      <c r="AG5" s="302"/>
      <c r="AH5" s="302"/>
      <c r="AI5" s="302"/>
      <c r="AJ5" s="302"/>
      <c r="AK5" s="302"/>
      <c r="AL5" s="302"/>
      <c r="AM5" s="302"/>
      <c r="AN5" s="302"/>
      <c r="AO5" s="302"/>
      <c r="AP5" s="302"/>
      <c r="AQ5" s="302"/>
      <c r="AR5" s="302"/>
      <c r="AS5" s="302"/>
      <c r="AT5" s="302"/>
      <c r="AU5" s="302"/>
      <c r="AV5" s="302"/>
    </row>
    <row r="6" spans="1:48" ht="18.75" x14ac:dyDescent="0.3">
      <c r="AV6" s="12"/>
    </row>
    <row r="7" spans="1:48" ht="18.75" x14ac:dyDescent="0.25">
      <c r="A7" s="311" t="s">
        <v>7</v>
      </c>
      <c r="B7" s="311"/>
      <c r="C7" s="311"/>
      <c r="D7" s="311"/>
      <c r="E7" s="311"/>
      <c r="F7" s="311"/>
      <c r="G7" s="311"/>
      <c r="H7" s="311"/>
      <c r="I7" s="311"/>
      <c r="J7" s="311"/>
      <c r="K7" s="311"/>
      <c r="L7" s="311"/>
      <c r="M7" s="311"/>
      <c r="N7" s="311"/>
      <c r="O7" s="311"/>
      <c r="P7" s="311"/>
      <c r="Q7" s="311"/>
      <c r="R7" s="311"/>
      <c r="S7" s="311"/>
      <c r="T7" s="311"/>
      <c r="U7" s="311"/>
      <c r="V7" s="311"/>
      <c r="W7" s="311"/>
      <c r="X7" s="311"/>
      <c r="Y7" s="311"/>
      <c r="Z7" s="311"/>
      <c r="AA7" s="311"/>
      <c r="AB7" s="311"/>
      <c r="AC7" s="311"/>
      <c r="AD7" s="311"/>
      <c r="AE7" s="311"/>
      <c r="AF7" s="311"/>
      <c r="AG7" s="311"/>
      <c r="AH7" s="311"/>
      <c r="AI7" s="311"/>
      <c r="AJ7" s="311"/>
      <c r="AK7" s="311"/>
      <c r="AL7" s="311"/>
      <c r="AM7" s="311"/>
      <c r="AN7" s="311"/>
      <c r="AO7" s="311"/>
      <c r="AP7" s="311"/>
      <c r="AQ7" s="311"/>
      <c r="AR7" s="311"/>
      <c r="AS7" s="311"/>
      <c r="AT7" s="311"/>
      <c r="AU7" s="311"/>
      <c r="AV7" s="311"/>
    </row>
    <row r="8" spans="1:48" ht="18.75" x14ac:dyDescent="0.25">
      <c r="A8" s="311"/>
      <c r="B8" s="311"/>
      <c r="C8" s="311"/>
      <c r="D8" s="311"/>
      <c r="E8" s="311"/>
      <c r="F8" s="311"/>
      <c r="G8" s="311"/>
      <c r="H8" s="311"/>
      <c r="I8" s="311"/>
      <c r="J8" s="311"/>
      <c r="K8" s="311"/>
      <c r="L8" s="311"/>
      <c r="M8" s="311"/>
      <c r="N8" s="311"/>
      <c r="O8" s="311"/>
      <c r="P8" s="311"/>
      <c r="Q8" s="311"/>
      <c r="R8" s="311"/>
      <c r="S8" s="311"/>
      <c r="T8" s="311"/>
      <c r="U8" s="311"/>
      <c r="V8" s="311"/>
      <c r="W8" s="311"/>
      <c r="X8" s="311"/>
      <c r="Y8" s="311"/>
      <c r="Z8" s="311"/>
      <c r="AA8" s="311"/>
      <c r="AB8" s="311"/>
      <c r="AC8" s="311"/>
      <c r="AD8" s="311"/>
      <c r="AE8" s="311"/>
      <c r="AF8" s="311"/>
      <c r="AG8" s="311"/>
      <c r="AH8" s="311"/>
      <c r="AI8" s="311"/>
      <c r="AJ8" s="311"/>
      <c r="AK8" s="311"/>
      <c r="AL8" s="311"/>
      <c r="AM8" s="311"/>
      <c r="AN8" s="311"/>
      <c r="AO8" s="311"/>
      <c r="AP8" s="311"/>
      <c r="AQ8" s="311"/>
      <c r="AR8" s="311"/>
      <c r="AS8" s="311"/>
      <c r="AT8" s="311"/>
      <c r="AU8" s="311"/>
      <c r="AV8" s="311"/>
    </row>
    <row r="9" spans="1:48" ht="15.75" x14ac:dyDescent="0.25">
      <c r="A9" s="309" t="str">
        <f>'1. паспорт местоположение'!A9:C9</f>
        <v xml:space="preserve">Акционерное общество "Западная энергетическая компания" </v>
      </c>
      <c r="B9" s="309"/>
      <c r="C9" s="309"/>
      <c r="D9" s="309"/>
      <c r="E9" s="309"/>
      <c r="F9" s="309"/>
      <c r="G9" s="309"/>
      <c r="H9" s="309"/>
      <c r="I9" s="309"/>
      <c r="J9" s="309"/>
      <c r="K9" s="309"/>
      <c r="L9" s="309"/>
      <c r="M9" s="309"/>
      <c r="N9" s="309"/>
      <c r="O9" s="309"/>
      <c r="P9" s="309"/>
      <c r="Q9" s="309"/>
      <c r="R9" s="309"/>
      <c r="S9" s="309"/>
      <c r="T9" s="309"/>
      <c r="U9" s="309"/>
      <c r="V9" s="309"/>
      <c r="W9" s="309"/>
      <c r="X9" s="309"/>
      <c r="Y9" s="309"/>
      <c r="Z9" s="309"/>
      <c r="AA9" s="309"/>
      <c r="AB9" s="309"/>
      <c r="AC9" s="309"/>
      <c r="AD9" s="309"/>
      <c r="AE9" s="309"/>
      <c r="AF9" s="309"/>
      <c r="AG9" s="309"/>
      <c r="AH9" s="309"/>
      <c r="AI9" s="309"/>
      <c r="AJ9" s="309"/>
      <c r="AK9" s="309"/>
      <c r="AL9" s="309"/>
      <c r="AM9" s="309"/>
      <c r="AN9" s="309"/>
      <c r="AO9" s="309"/>
      <c r="AP9" s="309"/>
      <c r="AQ9" s="309"/>
      <c r="AR9" s="309"/>
      <c r="AS9" s="309"/>
      <c r="AT9" s="309"/>
      <c r="AU9" s="309"/>
      <c r="AV9" s="309"/>
    </row>
    <row r="10" spans="1:48" ht="15.75" x14ac:dyDescent="0.25">
      <c r="A10" s="315" t="s">
        <v>6</v>
      </c>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315"/>
      <c r="AB10" s="315"/>
      <c r="AC10" s="315"/>
      <c r="AD10" s="315"/>
      <c r="AE10" s="315"/>
      <c r="AF10" s="315"/>
      <c r="AG10" s="315"/>
      <c r="AH10" s="315"/>
      <c r="AI10" s="315"/>
      <c r="AJ10" s="315"/>
      <c r="AK10" s="315"/>
      <c r="AL10" s="315"/>
      <c r="AM10" s="315"/>
      <c r="AN10" s="315"/>
      <c r="AO10" s="315"/>
      <c r="AP10" s="315"/>
      <c r="AQ10" s="315"/>
      <c r="AR10" s="315"/>
      <c r="AS10" s="315"/>
      <c r="AT10" s="315"/>
      <c r="AU10" s="315"/>
      <c r="AV10" s="315"/>
    </row>
    <row r="11" spans="1:48" ht="18.75" x14ac:dyDescent="0.25">
      <c r="A11" s="311"/>
      <c r="B11" s="311"/>
      <c r="C11" s="311"/>
      <c r="D11" s="311"/>
      <c r="E11" s="311"/>
      <c r="F11" s="311"/>
      <c r="G11" s="311"/>
      <c r="H11" s="311"/>
      <c r="I11" s="311"/>
      <c r="J11" s="311"/>
      <c r="K11" s="311"/>
      <c r="L11" s="311"/>
      <c r="M11" s="311"/>
      <c r="N11" s="311"/>
      <c r="O11" s="311"/>
      <c r="P11" s="311"/>
      <c r="Q11" s="311"/>
      <c r="R11" s="311"/>
      <c r="S11" s="311"/>
      <c r="T11" s="311"/>
      <c r="U11" s="311"/>
      <c r="V11" s="311"/>
      <c r="W11" s="311"/>
      <c r="X11" s="311"/>
      <c r="Y11" s="311"/>
      <c r="Z11" s="311"/>
      <c r="AA11" s="311"/>
      <c r="AB11" s="311"/>
      <c r="AC11" s="311"/>
      <c r="AD11" s="311"/>
      <c r="AE11" s="311"/>
      <c r="AF11" s="311"/>
      <c r="AG11" s="311"/>
      <c r="AH11" s="311"/>
      <c r="AI11" s="311"/>
      <c r="AJ11" s="311"/>
      <c r="AK11" s="311"/>
      <c r="AL11" s="311"/>
      <c r="AM11" s="311"/>
      <c r="AN11" s="311"/>
      <c r="AO11" s="311"/>
      <c r="AP11" s="311"/>
      <c r="AQ11" s="311"/>
      <c r="AR11" s="311"/>
      <c r="AS11" s="311"/>
      <c r="AT11" s="311"/>
      <c r="AU11" s="311"/>
      <c r="AV11" s="311"/>
    </row>
    <row r="12" spans="1:48" ht="15.75" x14ac:dyDescent="0.25">
      <c r="A12" s="309" t="str">
        <f>'1. паспорт местоположение'!A12:C12</f>
        <v>J 19-09</v>
      </c>
      <c r="B12" s="309"/>
      <c r="C12" s="309"/>
      <c r="D12" s="309"/>
      <c r="E12" s="309"/>
      <c r="F12" s="309"/>
      <c r="G12" s="309"/>
      <c r="H12" s="309"/>
      <c r="I12" s="309"/>
      <c r="J12" s="309"/>
      <c r="K12" s="309"/>
      <c r="L12" s="309"/>
      <c r="M12" s="309"/>
      <c r="N12" s="309"/>
      <c r="O12" s="309"/>
      <c r="P12" s="309"/>
      <c r="Q12" s="309"/>
      <c r="R12" s="309"/>
      <c r="S12" s="309"/>
      <c r="T12" s="309"/>
      <c r="U12" s="309"/>
      <c r="V12" s="309"/>
      <c r="W12" s="309"/>
      <c r="X12" s="309"/>
      <c r="Y12" s="309"/>
      <c r="Z12" s="309"/>
      <c r="AA12" s="309"/>
      <c r="AB12" s="309"/>
      <c r="AC12" s="309"/>
      <c r="AD12" s="309"/>
      <c r="AE12" s="309"/>
      <c r="AF12" s="309"/>
      <c r="AG12" s="309"/>
      <c r="AH12" s="309"/>
      <c r="AI12" s="309"/>
      <c r="AJ12" s="309"/>
      <c r="AK12" s="309"/>
      <c r="AL12" s="309"/>
      <c r="AM12" s="309"/>
      <c r="AN12" s="309"/>
      <c r="AO12" s="309"/>
      <c r="AP12" s="309"/>
      <c r="AQ12" s="309"/>
      <c r="AR12" s="309"/>
      <c r="AS12" s="309"/>
      <c r="AT12" s="309"/>
      <c r="AU12" s="309"/>
      <c r="AV12" s="309"/>
    </row>
    <row r="13" spans="1:48" ht="15.75" x14ac:dyDescent="0.25">
      <c r="A13" s="315" t="s">
        <v>5</v>
      </c>
      <c r="B13" s="315"/>
      <c r="C13" s="315"/>
      <c r="D13" s="315"/>
      <c r="E13" s="315"/>
      <c r="F13" s="315"/>
      <c r="G13" s="315"/>
      <c r="H13" s="315"/>
      <c r="I13" s="315"/>
      <c r="J13" s="315"/>
      <c r="K13" s="315"/>
      <c r="L13" s="315"/>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c r="AS13" s="315"/>
      <c r="AT13" s="315"/>
      <c r="AU13" s="315"/>
      <c r="AV13" s="315"/>
    </row>
    <row r="14" spans="1:48" ht="18.75" x14ac:dyDescent="0.25">
      <c r="A14" s="316"/>
      <c r="B14" s="316"/>
      <c r="C14" s="316"/>
      <c r="D14" s="316"/>
      <c r="E14" s="316"/>
      <c r="F14" s="316"/>
      <c r="G14" s="316"/>
      <c r="H14" s="316"/>
      <c r="I14" s="316"/>
      <c r="J14" s="316"/>
      <c r="K14" s="316"/>
      <c r="L14" s="316"/>
      <c r="M14" s="316"/>
      <c r="N14" s="316"/>
      <c r="O14" s="316"/>
      <c r="P14" s="316"/>
      <c r="Q14" s="316"/>
      <c r="R14" s="316"/>
      <c r="S14" s="316"/>
      <c r="T14" s="316"/>
      <c r="U14" s="316"/>
      <c r="V14" s="316"/>
      <c r="W14" s="316"/>
      <c r="X14" s="316"/>
      <c r="Y14" s="316"/>
      <c r="Z14" s="316"/>
      <c r="AA14" s="316"/>
      <c r="AB14" s="316"/>
      <c r="AC14" s="316"/>
      <c r="AD14" s="316"/>
      <c r="AE14" s="316"/>
      <c r="AF14" s="316"/>
      <c r="AG14" s="316"/>
      <c r="AH14" s="316"/>
      <c r="AI14" s="316"/>
      <c r="AJ14" s="316"/>
      <c r="AK14" s="316"/>
      <c r="AL14" s="316"/>
      <c r="AM14" s="316"/>
      <c r="AN14" s="316"/>
      <c r="AO14" s="316"/>
      <c r="AP14" s="316"/>
      <c r="AQ14" s="316"/>
      <c r="AR14" s="316"/>
      <c r="AS14" s="316"/>
      <c r="AT14" s="316"/>
      <c r="AU14" s="316"/>
      <c r="AV14" s="316"/>
    </row>
    <row r="15" spans="1:48" ht="15.75" x14ac:dyDescent="0.25">
      <c r="A15" s="309" t="str">
        <f>'1. паспорт местоположение'!A15:C15</f>
        <v>Реконструкция ТП 15/6/0,4кВ  ТП-5 с заменой ячеек КРУ 15кВ с  маслянными выключателями SCI-20 ячейки  на КРУ-15кВ с вакуумными выключателями 9 шт., заменой ячеек КРУ 6 кВ с воздушными выключателями нагрузки на КРУ  с элегазовыми выключателями нагрузки;  с установкой 2-го трансформатора 15 кВ мощностью 0,8 МВА,с приростом мощности на 0,8 МВА; заменой трансформатора 6 кВ мощностью 0,18 МВА  на 0,25 МВА, с приростом мощности 0,07 МВА, в п.Северный, Багратионовского р-на</v>
      </c>
      <c r="B15" s="309"/>
      <c r="C15" s="309"/>
      <c r="D15" s="309"/>
      <c r="E15" s="309"/>
      <c r="F15" s="309"/>
      <c r="G15" s="309"/>
      <c r="H15" s="309"/>
      <c r="I15" s="309"/>
      <c r="J15" s="309"/>
      <c r="K15" s="309"/>
      <c r="L15" s="309"/>
      <c r="M15" s="309"/>
      <c r="N15" s="309"/>
      <c r="O15" s="309"/>
      <c r="P15" s="309"/>
      <c r="Q15" s="309"/>
      <c r="R15" s="309"/>
      <c r="S15" s="309"/>
      <c r="T15" s="309"/>
      <c r="U15" s="309"/>
      <c r="V15" s="309"/>
      <c r="W15" s="309"/>
      <c r="X15" s="309"/>
      <c r="Y15" s="309"/>
      <c r="Z15" s="309"/>
      <c r="AA15" s="309"/>
      <c r="AB15" s="309"/>
      <c r="AC15" s="309"/>
      <c r="AD15" s="309"/>
      <c r="AE15" s="309"/>
      <c r="AF15" s="309"/>
      <c r="AG15" s="309"/>
      <c r="AH15" s="309"/>
      <c r="AI15" s="309"/>
      <c r="AJ15" s="309"/>
      <c r="AK15" s="309"/>
      <c r="AL15" s="309"/>
      <c r="AM15" s="309"/>
      <c r="AN15" s="309"/>
      <c r="AO15" s="309"/>
      <c r="AP15" s="309"/>
      <c r="AQ15" s="309"/>
      <c r="AR15" s="309"/>
      <c r="AS15" s="309"/>
      <c r="AT15" s="309"/>
      <c r="AU15" s="309"/>
      <c r="AV15" s="309"/>
    </row>
    <row r="16" spans="1:48" ht="15.75" x14ac:dyDescent="0.25">
      <c r="A16" s="315" t="s">
        <v>4</v>
      </c>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c r="AS16" s="315"/>
      <c r="AT16" s="315"/>
      <c r="AU16" s="315"/>
      <c r="AV16" s="315"/>
    </row>
    <row r="17" spans="1:48" x14ac:dyDescent="0.25">
      <c r="A17" s="336"/>
      <c r="B17" s="336"/>
      <c r="C17" s="336"/>
      <c r="D17" s="336"/>
      <c r="E17" s="336"/>
      <c r="F17" s="336"/>
      <c r="G17" s="336"/>
      <c r="H17" s="336"/>
      <c r="I17" s="336"/>
      <c r="J17" s="336"/>
      <c r="K17" s="336"/>
      <c r="L17" s="336"/>
      <c r="M17" s="336"/>
      <c r="N17" s="336"/>
      <c r="O17" s="336"/>
      <c r="P17" s="336"/>
      <c r="Q17" s="336"/>
      <c r="R17" s="336"/>
      <c r="S17" s="336"/>
      <c r="T17" s="336"/>
      <c r="U17" s="336"/>
      <c r="V17" s="336"/>
      <c r="W17" s="336"/>
      <c r="X17" s="336"/>
      <c r="Y17" s="336"/>
      <c r="Z17" s="336"/>
      <c r="AA17" s="336"/>
      <c r="AB17" s="336"/>
      <c r="AC17" s="336"/>
      <c r="AD17" s="336"/>
      <c r="AE17" s="336"/>
      <c r="AF17" s="336"/>
      <c r="AG17" s="336"/>
      <c r="AH17" s="336"/>
      <c r="AI17" s="336"/>
      <c r="AJ17" s="336"/>
      <c r="AK17" s="336"/>
      <c r="AL17" s="336"/>
      <c r="AM17" s="336"/>
      <c r="AN17" s="336"/>
      <c r="AO17" s="336"/>
      <c r="AP17" s="336"/>
      <c r="AQ17" s="336"/>
      <c r="AR17" s="336"/>
      <c r="AS17" s="336"/>
      <c r="AT17" s="336"/>
      <c r="AU17" s="336"/>
      <c r="AV17" s="336"/>
    </row>
    <row r="18" spans="1:48" ht="14.25" customHeight="1" x14ac:dyDescent="0.25">
      <c r="A18" s="336"/>
      <c r="B18" s="336"/>
      <c r="C18" s="336"/>
      <c r="D18" s="336"/>
      <c r="E18" s="336"/>
      <c r="F18" s="336"/>
      <c r="G18" s="336"/>
      <c r="H18" s="336"/>
      <c r="I18" s="336"/>
      <c r="J18" s="336"/>
      <c r="K18" s="336"/>
      <c r="L18" s="336"/>
      <c r="M18" s="336"/>
      <c r="N18" s="336"/>
      <c r="O18" s="336"/>
      <c r="P18" s="336"/>
      <c r="Q18" s="336"/>
      <c r="R18" s="336"/>
      <c r="S18" s="336"/>
      <c r="T18" s="336"/>
      <c r="U18" s="336"/>
      <c r="V18" s="336"/>
      <c r="W18" s="336"/>
      <c r="X18" s="336"/>
      <c r="Y18" s="336"/>
      <c r="Z18" s="336"/>
      <c r="AA18" s="336"/>
      <c r="AB18" s="336"/>
      <c r="AC18" s="336"/>
      <c r="AD18" s="336"/>
      <c r="AE18" s="336"/>
      <c r="AF18" s="336"/>
      <c r="AG18" s="336"/>
      <c r="AH18" s="336"/>
      <c r="AI18" s="336"/>
      <c r="AJ18" s="336"/>
      <c r="AK18" s="336"/>
      <c r="AL18" s="336"/>
      <c r="AM18" s="336"/>
      <c r="AN18" s="336"/>
      <c r="AO18" s="336"/>
      <c r="AP18" s="336"/>
      <c r="AQ18" s="336"/>
      <c r="AR18" s="336"/>
      <c r="AS18" s="336"/>
      <c r="AT18" s="336"/>
      <c r="AU18" s="336"/>
      <c r="AV18" s="336"/>
    </row>
    <row r="19" spans="1:48" x14ac:dyDescent="0.25">
      <c r="A19" s="336"/>
      <c r="B19" s="336"/>
      <c r="C19" s="336"/>
      <c r="D19" s="336"/>
      <c r="E19" s="336"/>
      <c r="F19" s="336"/>
      <c r="G19" s="336"/>
      <c r="H19" s="336"/>
      <c r="I19" s="336"/>
      <c r="J19" s="336"/>
      <c r="K19" s="336"/>
      <c r="L19" s="336"/>
      <c r="M19" s="336"/>
      <c r="N19" s="336"/>
      <c r="O19" s="336"/>
      <c r="P19" s="336"/>
      <c r="Q19" s="336"/>
      <c r="R19" s="336"/>
      <c r="S19" s="336"/>
      <c r="T19" s="336"/>
      <c r="U19" s="336"/>
      <c r="V19" s="336"/>
      <c r="W19" s="336"/>
      <c r="X19" s="336"/>
      <c r="Y19" s="336"/>
      <c r="Z19" s="336"/>
      <c r="AA19" s="336"/>
      <c r="AB19" s="336"/>
      <c r="AC19" s="336"/>
      <c r="AD19" s="336"/>
      <c r="AE19" s="336"/>
      <c r="AF19" s="336"/>
      <c r="AG19" s="336"/>
      <c r="AH19" s="336"/>
      <c r="AI19" s="336"/>
      <c r="AJ19" s="336"/>
      <c r="AK19" s="336"/>
      <c r="AL19" s="336"/>
      <c r="AM19" s="336"/>
      <c r="AN19" s="336"/>
      <c r="AO19" s="336"/>
      <c r="AP19" s="336"/>
      <c r="AQ19" s="336"/>
      <c r="AR19" s="336"/>
      <c r="AS19" s="336"/>
      <c r="AT19" s="336"/>
      <c r="AU19" s="336"/>
      <c r="AV19" s="336"/>
    </row>
    <row r="20" spans="1:48" x14ac:dyDescent="0.25">
      <c r="A20" s="336"/>
      <c r="B20" s="336"/>
      <c r="C20" s="336"/>
      <c r="D20" s="336"/>
      <c r="E20" s="336"/>
      <c r="F20" s="336"/>
      <c r="G20" s="336"/>
      <c r="H20" s="336"/>
      <c r="I20" s="336"/>
      <c r="J20" s="336"/>
      <c r="K20" s="336"/>
      <c r="L20" s="336"/>
      <c r="M20" s="336"/>
      <c r="N20" s="336"/>
      <c r="O20" s="336"/>
      <c r="P20" s="336"/>
      <c r="Q20" s="336"/>
      <c r="R20" s="336"/>
      <c r="S20" s="336"/>
      <c r="T20" s="336"/>
      <c r="U20" s="336"/>
      <c r="V20" s="336"/>
      <c r="W20" s="336"/>
      <c r="X20" s="336"/>
      <c r="Y20" s="336"/>
      <c r="Z20" s="336"/>
      <c r="AA20" s="336"/>
      <c r="AB20" s="336"/>
      <c r="AC20" s="336"/>
      <c r="AD20" s="336"/>
      <c r="AE20" s="336"/>
      <c r="AF20" s="336"/>
      <c r="AG20" s="336"/>
      <c r="AH20" s="336"/>
      <c r="AI20" s="336"/>
      <c r="AJ20" s="336"/>
      <c r="AK20" s="336"/>
      <c r="AL20" s="336"/>
      <c r="AM20" s="336"/>
      <c r="AN20" s="336"/>
      <c r="AO20" s="336"/>
      <c r="AP20" s="336"/>
      <c r="AQ20" s="336"/>
      <c r="AR20" s="336"/>
      <c r="AS20" s="336"/>
      <c r="AT20" s="336"/>
      <c r="AU20" s="336"/>
      <c r="AV20" s="336"/>
    </row>
    <row r="21" spans="1:48" x14ac:dyDescent="0.25">
      <c r="A21" s="396" t="s">
        <v>407</v>
      </c>
      <c r="B21" s="396"/>
      <c r="C21" s="396"/>
      <c r="D21" s="396"/>
      <c r="E21" s="396"/>
      <c r="F21" s="396"/>
      <c r="G21" s="396"/>
      <c r="H21" s="396"/>
      <c r="I21" s="396"/>
      <c r="J21" s="396"/>
      <c r="K21" s="396"/>
      <c r="L21" s="396"/>
      <c r="M21" s="396"/>
      <c r="N21" s="396"/>
      <c r="O21" s="396"/>
      <c r="P21" s="396"/>
      <c r="Q21" s="396"/>
      <c r="R21" s="396"/>
      <c r="S21" s="396"/>
      <c r="T21" s="396"/>
      <c r="U21" s="396"/>
      <c r="V21" s="396"/>
      <c r="W21" s="396"/>
      <c r="X21" s="396"/>
      <c r="Y21" s="396"/>
      <c r="Z21" s="396"/>
      <c r="AA21" s="396"/>
      <c r="AB21" s="396"/>
      <c r="AC21" s="396"/>
      <c r="AD21" s="396"/>
      <c r="AE21" s="396"/>
      <c r="AF21" s="396"/>
      <c r="AG21" s="396"/>
      <c r="AH21" s="396"/>
      <c r="AI21" s="396"/>
      <c r="AJ21" s="396"/>
      <c r="AK21" s="396"/>
      <c r="AL21" s="396"/>
      <c r="AM21" s="396"/>
      <c r="AN21" s="396"/>
      <c r="AO21" s="396"/>
      <c r="AP21" s="396"/>
      <c r="AQ21" s="396"/>
      <c r="AR21" s="396"/>
      <c r="AS21" s="396"/>
      <c r="AT21" s="396"/>
      <c r="AU21" s="396"/>
      <c r="AV21" s="396"/>
    </row>
    <row r="22" spans="1:48" ht="58.5" customHeight="1" x14ac:dyDescent="0.25">
      <c r="A22" s="397" t="s">
        <v>50</v>
      </c>
      <c r="B22" s="401" t="s">
        <v>22</v>
      </c>
      <c r="C22" s="387" t="s">
        <v>49</v>
      </c>
      <c r="D22" s="387" t="s">
        <v>48</v>
      </c>
      <c r="E22" s="404" t="s">
        <v>417</v>
      </c>
      <c r="F22" s="405"/>
      <c r="G22" s="405"/>
      <c r="H22" s="405"/>
      <c r="I22" s="405"/>
      <c r="J22" s="405"/>
      <c r="K22" s="405"/>
      <c r="L22" s="406"/>
      <c r="M22" s="387" t="s">
        <v>47</v>
      </c>
      <c r="N22" s="387" t="s">
        <v>46</v>
      </c>
      <c r="O22" s="387" t="s">
        <v>45</v>
      </c>
      <c r="P22" s="382" t="s">
        <v>228</v>
      </c>
      <c r="Q22" s="382" t="s">
        <v>44</v>
      </c>
      <c r="R22" s="382" t="s">
        <v>43</v>
      </c>
      <c r="S22" s="382" t="s">
        <v>42</v>
      </c>
      <c r="T22" s="382"/>
      <c r="U22" s="389" t="s">
        <v>41</v>
      </c>
      <c r="V22" s="389" t="s">
        <v>40</v>
      </c>
      <c r="W22" s="382" t="s">
        <v>39</v>
      </c>
      <c r="X22" s="382" t="s">
        <v>38</v>
      </c>
      <c r="Y22" s="382" t="s">
        <v>37</v>
      </c>
      <c r="Z22" s="389" t="s">
        <v>36</v>
      </c>
      <c r="AA22" s="382" t="s">
        <v>35</v>
      </c>
      <c r="AB22" s="382" t="s">
        <v>34</v>
      </c>
      <c r="AC22" s="382" t="s">
        <v>33</v>
      </c>
      <c r="AD22" s="382" t="s">
        <v>32</v>
      </c>
      <c r="AE22" s="382" t="s">
        <v>31</v>
      </c>
      <c r="AF22" s="382" t="s">
        <v>30</v>
      </c>
      <c r="AG22" s="382"/>
      <c r="AH22" s="382"/>
      <c r="AI22" s="382"/>
      <c r="AJ22" s="382"/>
      <c r="AK22" s="382"/>
      <c r="AL22" s="382" t="s">
        <v>29</v>
      </c>
      <c r="AM22" s="382"/>
      <c r="AN22" s="382"/>
      <c r="AO22" s="382"/>
      <c r="AP22" s="382" t="s">
        <v>28</v>
      </c>
      <c r="AQ22" s="382"/>
      <c r="AR22" s="382" t="s">
        <v>27</v>
      </c>
      <c r="AS22" s="382" t="s">
        <v>26</v>
      </c>
      <c r="AT22" s="382" t="s">
        <v>25</v>
      </c>
      <c r="AU22" s="382" t="s">
        <v>24</v>
      </c>
      <c r="AV22" s="390" t="s">
        <v>23</v>
      </c>
    </row>
    <row r="23" spans="1:48" ht="64.5" customHeight="1" x14ac:dyDescent="0.25">
      <c r="A23" s="398"/>
      <c r="B23" s="402"/>
      <c r="C23" s="400"/>
      <c r="D23" s="400"/>
      <c r="E23" s="392" t="s">
        <v>21</v>
      </c>
      <c r="F23" s="383" t="s">
        <v>126</v>
      </c>
      <c r="G23" s="383" t="s">
        <v>125</v>
      </c>
      <c r="H23" s="383" t="s">
        <v>124</v>
      </c>
      <c r="I23" s="385" t="s">
        <v>354</v>
      </c>
      <c r="J23" s="385" t="s">
        <v>355</v>
      </c>
      <c r="K23" s="385" t="s">
        <v>356</v>
      </c>
      <c r="L23" s="383" t="s">
        <v>74</v>
      </c>
      <c r="M23" s="400"/>
      <c r="N23" s="400"/>
      <c r="O23" s="400"/>
      <c r="P23" s="382"/>
      <c r="Q23" s="382"/>
      <c r="R23" s="382"/>
      <c r="S23" s="394" t="s">
        <v>2</v>
      </c>
      <c r="T23" s="394" t="s">
        <v>9</v>
      </c>
      <c r="U23" s="389"/>
      <c r="V23" s="389"/>
      <c r="W23" s="382"/>
      <c r="X23" s="382"/>
      <c r="Y23" s="382"/>
      <c r="Z23" s="382"/>
      <c r="AA23" s="382"/>
      <c r="AB23" s="382"/>
      <c r="AC23" s="382"/>
      <c r="AD23" s="382"/>
      <c r="AE23" s="382"/>
      <c r="AF23" s="382" t="s">
        <v>20</v>
      </c>
      <c r="AG23" s="382"/>
      <c r="AH23" s="382" t="s">
        <v>19</v>
      </c>
      <c r="AI23" s="382"/>
      <c r="AJ23" s="387" t="s">
        <v>18</v>
      </c>
      <c r="AK23" s="387" t="s">
        <v>17</v>
      </c>
      <c r="AL23" s="387" t="s">
        <v>16</v>
      </c>
      <c r="AM23" s="387" t="s">
        <v>15</v>
      </c>
      <c r="AN23" s="387" t="s">
        <v>14</v>
      </c>
      <c r="AO23" s="387" t="s">
        <v>13</v>
      </c>
      <c r="AP23" s="387" t="s">
        <v>12</v>
      </c>
      <c r="AQ23" s="387" t="s">
        <v>9</v>
      </c>
      <c r="AR23" s="382"/>
      <c r="AS23" s="382"/>
      <c r="AT23" s="382"/>
      <c r="AU23" s="382"/>
      <c r="AV23" s="391"/>
    </row>
    <row r="24" spans="1:48" ht="96.75" customHeight="1" x14ac:dyDescent="0.25">
      <c r="A24" s="399"/>
      <c r="B24" s="403"/>
      <c r="C24" s="388"/>
      <c r="D24" s="388"/>
      <c r="E24" s="393"/>
      <c r="F24" s="384"/>
      <c r="G24" s="384"/>
      <c r="H24" s="384"/>
      <c r="I24" s="386"/>
      <c r="J24" s="386"/>
      <c r="K24" s="386"/>
      <c r="L24" s="384"/>
      <c r="M24" s="388"/>
      <c r="N24" s="388"/>
      <c r="O24" s="388"/>
      <c r="P24" s="382"/>
      <c r="Q24" s="382"/>
      <c r="R24" s="382"/>
      <c r="S24" s="395"/>
      <c r="T24" s="395"/>
      <c r="U24" s="389"/>
      <c r="V24" s="389"/>
      <c r="W24" s="382"/>
      <c r="X24" s="382"/>
      <c r="Y24" s="382"/>
      <c r="Z24" s="382"/>
      <c r="AA24" s="382"/>
      <c r="AB24" s="382"/>
      <c r="AC24" s="382"/>
      <c r="AD24" s="382"/>
      <c r="AE24" s="382"/>
      <c r="AF24" s="141" t="s">
        <v>11</v>
      </c>
      <c r="AG24" s="141" t="s">
        <v>10</v>
      </c>
      <c r="AH24" s="142" t="s">
        <v>2</v>
      </c>
      <c r="AI24" s="142" t="s">
        <v>9</v>
      </c>
      <c r="AJ24" s="388"/>
      <c r="AK24" s="388"/>
      <c r="AL24" s="388"/>
      <c r="AM24" s="388"/>
      <c r="AN24" s="388"/>
      <c r="AO24" s="388"/>
      <c r="AP24" s="388"/>
      <c r="AQ24" s="388"/>
      <c r="AR24" s="382"/>
      <c r="AS24" s="382"/>
      <c r="AT24" s="382"/>
      <c r="AU24" s="382"/>
      <c r="AV24" s="391"/>
    </row>
    <row r="25" spans="1:48" s="145" customFormat="1" ht="11.25" x14ac:dyDescent="0.2">
      <c r="A25" s="143">
        <v>1</v>
      </c>
      <c r="B25" s="144">
        <v>2</v>
      </c>
      <c r="C25" s="144">
        <v>4</v>
      </c>
      <c r="D25" s="144">
        <v>5</v>
      </c>
      <c r="E25" s="144">
        <v>6</v>
      </c>
      <c r="F25" s="144">
        <f>E25+1</f>
        <v>7</v>
      </c>
      <c r="G25" s="144">
        <f t="shared" ref="G25:H25" si="0">F25+1</f>
        <v>8</v>
      </c>
      <c r="H25" s="144">
        <f t="shared" si="0"/>
        <v>9</v>
      </c>
      <c r="I25" s="144">
        <f t="shared" ref="I25" si="1">H25+1</f>
        <v>10</v>
      </c>
      <c r="J25" s="144">
        <f t="shared" ref="J25" si="2">I25+1</f>
        <v>11</v>
      </c>
      <c r="K25" s="144">
        <f t="shared" ref="K25" si="3">J25+1</f>
        <v>12</v>
      </c>
      <c r="L25" s="144">
        <f t="shared" ref="L25" si="4">K25+1</f>
        <v>13</v>
      </c>
      <c r="M25" s="144">
        <f t="shared" ref="M25" si="5">L25+1</f>
        <v>14</v>
      </c>
      <c r="N25" s="144">
        <f t="shared" ref="N25" si="6">M25+1</f>
        <v>15</v>
      </c>
      <c r="O25" s="144">
        <f t="shared" ref="O25" si="7">N25+1</f>
        <v>16</v>
      </c>
      <c r="P25" s="144">
        <f t="shared" ref="P25" si="8">O25+1</f>
        <v>17</v>
      </c>
      <c r="Q25" s="144">
        <f t="shared" ref="Q25" si="9">P25+1</f>
        <v>18</v>
      </c>
      <c r="R25" s="144">
        <f t="shared" ref="R25" si="10">Q25+1</f>
        <v>19</v>
      </c>
      <c r="S25" s="144">
        <f t="shared" ref="S25" si="11">R25+1</f>
        <v>20</v>
      </c>
      <c r="T25" s="144">
        <f t="shared" ref="T25" si="12">S25+1</f>
        <v>21</v>
      </c>
      <c r="U25" s="144">
        <f t="shared" ref="U25" si="13">T25+1</f>
        <v>22</v>
      </c>
      <c r="V25" s="144">
        <f t="shared" ref="V25" si="14">U25+1</f>
        <v>23</v>
      </c>
      <c r="W25" s="144">
        <f t="shared" ref="W25" si="15">V25+1</f>
        <v>24</v>
      </c>
      <c r="X25" s="144">
        <f t="shared" ref="X25" si="16">W25+1</f>
        <v>25</v>
      </c>
      <c r="Y25" s="144">
        <f t="shared" ref="Y25" si="17">X25+1</f>
        <v>26</v>
      </c>
      <c r="Z25" s="144">
        <f t="shared" ref="Z25" si="18">Y25+1</f>
        <v>27</v>
      </c>
      <c r="AA25" s="144">
        <f t="shared" ref="AA25" si="19">Z25+1</f>
        <v>28</v>
      </c>
      <c r="AB25" s="144">
        <f t="shared" ref="AB25" si="20">AA25+1</f>
        <v>29</v>
      </c>
      <c r="AC25" s="144">
        <f t="shared" ref="AC25" si="21">AB25+1</f>
        <v>30</v>
      </c>
      <c r="AD25" s="144">
        <f t="shared" ref="AD25" si="22">AC25+1</f>
        <v>31</v>
      </c>
      <c r="AE25" s="144">
        <f t="shared" ref="AE25" si="23">AD25+1</f>
        <v>32</v>
      </c>
      <c r="AF25" s="144">
        <f t="shared" ref="AF25" si="24">AE25+1</f>
        <v>33</v>
      </c>
      <c r="AG25" s="144">
        <f t="shared" ref="AG25" si="25">AF25+1</f>
        <v>34</v>
      </c>
      <c r="AH25" s="144">
        <f t="shared" ref="AH25" si="26">AG25+1</f>
        <v>35</v>
      </c>
      <c r="AI25" s="144">
        <f t="shared" ref="AI25" si="27">AH25+1</f>
        <v>36</v>
      </c>
      <c r="AJ25" s="144">
        <f t="shared" ref="AJ25" si="28">AI25+1</f>
        <v>37</v>
      </c>
      <c r="AK25" s="144">
        <f t="shared" ref="AK25" si="29">AJ25+1</f>
        <v>38</v>
      </c>
      <c r="AL25" s="144">
        <f t="shared" ref="AL25" si="30">AK25+1</f>
        <v>39</v>
      </c>
      <c r="AM25" s="144">
        <f t="shared" ref="AM25" si="31">AL25+1</f>
        <v>40</v>
      </c>
      <c r="AN25" s="144">
        <f t="shared" ref="AN25" si="32">AM25+1</f>
        <v>41</v>
      </c>
      <c r="AO25" s="144">
        <f t="shared" ref="AO25" si="33">AN25+1</f>
        <v>42</v>
      </c>
      <c r="AP25" s="144">
        <f t="shared" ref="AP25" si="34">AO25+1</f>
        <v>43</v>
      </c>
      <c r="AQ25" s="144">
        <f t="shared" ref="AQ25" si="35">AP25+1</f>
        <v>44</v>
      </c>
      <c r="AR25" s="144">
        <f t="shared" ref="AR25" si="36">AQ25+1</f>
        <v>45</v>
      </c>
      <c r="AS25" s="144">
        <f t="shared" ref="AS25" si="37">AR25+1</f>
        <v>46</v>
      </c>
      <c r="AT25" s="144">
        <f t="shared" ref="AT25" si="38">AS25+1</f>
        <v>47</v>
      </c>
      <c r="AU25" s="144">
        <f t="shared" ref="AU25" si="39">AT25+1</f>
        <v>48</v>
      </c>
      <c r="AV25" s="144">
        <f t="shared" ref="AV25" si="40">AU25+1</f>
        <v>49</v>
      </c>
    </row>
    <row r="26" spans="1:48" s="151" customFormat="1" ht="63" x14ac:dyDescent="0.25">
      <c r="A26" s="146">
        <v>1</v>
      </c>
      <c r="B26" s="147" t="str">
        <f>A9</f>
        <v xml:space="preserve">Акционерное общество "Западная энергетическая компания" </v>
      </c>
      <c r="C26" s="147" t="s">
        <v>62</v>
      </c>
      <c r="D26" s="161">
        <f>'6.1. Паспорт сетевой график'!D53</f>
        <v>45362</v>
      </c>
      <c r="E26" s="147"/>
      <c r="F26" s="147"/>
      <c r="G26" s="147">
        <v>0.1</v>
      </c>
      <c r="H26" s="147"/>
      <c r="I26" s="147"/>
      <c r="J26" s="147"/>
      <c r="K26" s="147"/>
      <c r="L26" s="147">
        <v>24</v>
      </c>
      <c r="M26" s="147" t="s">
        <v>578</v>
      </c>
      <c r="N26" s="147" t="s">
        <v>549</v>
      </c>
      <c r="O26" s="148" t="str">
        <f>B26</f>
        <v xml:space="preserve">Акционерное общество "Западная энергетическая компания" </v>
      </c>
      <c r="P26" s="148"/>
      <c r="Q26" s="147"/>
      <c r="R26" s="148"/>
      <c r="S26" s="148"/>
      <c r="T26" s="148"/>
      <c r="U26" s="148"/>
      <c r="V26" s="148"/>
      <c r="W26" s="148"/>
      <c r="X26" s="148"/>
      <c r="Y26" s="148"/>
      <c r="Z26" s="148"/>
      <c r="AA26" s="148"/>
      <c r="AB26" s="148"/>
      <c r="AC26" s="148"/>
      <c r="AD26" s="147"/>
      <c r="AE26" s="147"/>
      <c r="AF26" s="149"/>
      <c r="AG26" s="149"/>
      <c r="AH26" s="150"/>
      <c r="AI26" s="150"/>
      <c r="AJ26" s="150"/>
      <c r="AK26" s="150"/>
      <c r="AL26" s="147"/>
      <c r="AM26" s="147"/>
      <c r="AN26" s="147"/>
      <c r="AO26" s="147"/>
      <c r="AP26" s="184"/>
      <c r="AQ26" s="184"/>
      <c r="AR26" s="184"/>
      <c r="AS26" s="184"/>
      <c r="AT26" s="184"/>
      <c r="AU26" s="147"/>
      <c r="AV26" s="147"/>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topLeftCell="A4" zoomScale="90" zoomScaleNormal="90" zoomScaleSheetLayoutView="90" workbookViewId="0">
      <selection activeCell="F70" sqref="F70"/>
    </sheetView>
  </sheetViews>
  <sheetFormatPr defaultRowHeight="15.75" x14ac:dyDescent="0.25"/>
  <cols>
    <col min="1" max="2" width="66.140625" style="58" customWidth="1"/>
    <col min="3" max="3" width="8.85546875" style="32" hidden="1" customWidth="1"/>
    <col min="4" max="4" width="0" style="32" hidden="1"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423</v>
      </c>
    </row>
    <row r="4" spans="1:8" x14ac:dyDescent="0.25">
      <c r="B4" s="24"/>
    </row>
    <row r="5" spans="1:8" ht="18.75" x14ac:dyDescent="0.3">
      <c r="A5" s="412" t="str">
        <f>'1. паспорт местоположение'!A5:C5</f>
        <v>Год раскрытия информации: 2024  год</v>
      </c>
      <c r="B5" s="412"/>
      <c r="C5" s="52"/>
      <c r="D5" s="52"/>
      <c r="E5" s="52"/>
      <c r="F5" s="52"/>
      <c r="G5" s="52"/>
      <c r="H5" s="52"/>
    </row>
    <row r="6" spans="1:8" ht="18.75" x14ac:dyDescent="0.3">
      <c r="A6" s="84"/>
      <c r="B6" s="84"/>
      <c r="C6" s="84"/>
      <c r="D6" s="84"/>
      <c r="E6" s="84"/>
      <c r="F6" s="84"/>
      <c r="G6" s="84"/>
      <c r="H6" s="84"/>
    </row>
    <row r="7" spans="1:8" ht="18.75" x14ac:dyDescent="0.25">
      <c r="A7" s="311" t="s">
        <v>7</v>
      </c>
      <c r="B7" s="311"/>
      <c r="C7" s="108"/>
      <c r="D7" s="108"/>
      <c r="E7" s="108"/>
      <c r="F7" s="108"/>
      <c r="G7" s="108"/>
      <c r="H7" s="108"/>
    </row>
    <row r="8" spans="1:8" ht="18.75" x14ac:dyDescent="0.25">
      <c r="A8" s="108"/>
      <c r="B8" s="108"/>
      <c r="C8" s="108"/>
      <c r="D8" s="108"/>
      <c r="E8" s="108"/>
      <c r="F8" s="108"/>
      <c r="G8" s="108"/>
      <c r="H8" s="108"/>
    </row>
    <row r="9" spans="1:8" x14ac:dyDescent="0.25">
      <c r="A9" s="309" t="str">
        <f>'1. паспорт местоположение'!A9:C9</f>
        <v xml:space="preserve">Акционерное общество "Западная энергетическая компания" </v>
      </c>
      <c r="B9" s="309"/>
      <c r="C9" s="110"/>
      <c r="D9" s="110"/>
      <c r="E9" s="110"/>
      <c r="F9" s="110"/>
      <c r="G9" s="110"/>
      <c r="H9" s="110"/>
    </row>
    <row r="10" spans="1:8" x14ac:dyDescent="0.25">
      <c r="A10" s="315" t="s">
        <v>6</v>
      </c>
      <c r="B10" s="315"/>
      <c r="C10" s="111"/>
      <c r="D10" s="111"/>
      <c r="E10" s="111"/>
      <c r="F10" s="111"/>
      <c r="G10" s="111"/>
      <c r="H10" s="111"/>
    </row>
    <row r="11" spans="1:8" ht="18.75" x14ac:dyDescent="0.25">
      <c r="A11" s="108"/>
      <c r="B11" s="108"/>
      <c r="C11" s="108"/>
      <c r="D11" s="108"/>
      <c r="E11" s="108"/>
      <c r="F11" s="108"/>
      <c r="G11" s="108"/>
      <c r="H11" s="108"/>
    </row>
    <row r="12" spans="1:8" ht="30.75" customHeight="1" x14ac:dyDescent="0.25">
      <c r="A12" s="309" t="str">
        <f>'1. паспорт местоположение'!A12:C12</f>
        <v>J 19-09</v>
      </c>
      <c r="B12" s="309"/>
      <c r="C12" s="110"/>
      <c r="D12" s="110"/>
      <c r="E12" s="110"/>
      <c r="F12" s="110"/>
      <c r="G12" s="110"/>
      <c r="H12" s="110"/>
    </row>
    <row r="13" spans="1:8" x14ac:dyDescent="0.25">
      <c r="A13" s="315" t="s">
        <v>5</v>
      </c>
      <c r="B13" s="315"/>
      <c r="C13" s="111"/>
      <c r="D13" s="111"/>
      <c r="E13" s="111"/>
      <c r="F13" s="111"/>
      <c r="G13" s="111"/>
      <c r="H13" s="111"/>
    </row>
    <row r="14" spans="1:8" ht="18.75" x14ac:dyDescent="0.25">
      <c r="A14" s="125"/>
      <c r="B14" s="125"/>
      <c r="C14" s="125"/>
      <c r="D14" s="125"/>
      <c r="E14" s="125"/>
      <c r="F14" s="125"/>
      <c r="G14" s="125"/>
      <c r="H14" s="125"/>
    </row>
    <row r="15" spans="1:8" ht="63.6" customHeight="1" x14ac:dyDescent="0.25">
      <c r="A15" s="335" t="str">
        <f>'1. паспорт местоположение'!A15:C15</f>
        <v>Реконструкция ТП 15/6/0,4кВ  ТП-5 с заменой ячеек КРУ 15кВ с  маслянными выключателями SCI-20 ячейки  на КРУ-15кВ с вакуумными выключателями 9 шт., заменой ячеек КРУ 6 кВ с воздушными выключателями нагрузки на КРУ  с элегазовыми выключателями нагрузки;  с установкой 2-го трансформатора 15 кВ мощностью 0,8 МВА,с приростом мощности на 0,8 МВА; заменой трансформатора 6 кВ мощностью 0,18 МВА  на 0,25 МВА, с приростом мощности 0,07 МВА, в п.Северный, Багратионовского р-на</v>
      </c>
      <c r="B15" s="335"/>
      <c r="C15" s="110"/>
      <c r="D15" s="110"/>
      <c r="E15" s="110"/>
      <c r="F15" s="110"/>
      <c r="G15" s="110"/>
      <c r="H15" s="110"/>
    </row>
    <row r="16" spans="1:8" x14ac:dyDescent="0.25">
      <c r="A16" s="315" t="s">
        <v>4</v>
      </c>
      <c r="B16" s="315"/>
      <c r="C16" s="111"/>
      <c r="D16" s="111"/>
      <c r="E16" s="111"/>
      <c r="F16" s="111"/>
      <c r="G16" s="111"/>
      <c r="H16" s="111"/>
    </row>
    <row r="17" spans="1:2" x14ac:dyDescent="0.25">
      <c r="B17" s="59"/>
    </row>
    <row r="18" spans="1:2" ht="33.75" customHeight="1" x14ac:dyDescent="0.25">
      <c r="A18" s="407" t="s">
        <v>408</v>
      </c>
      <c r="B18" s="408"/>
    </row>
    <row r="19" spans="1:2" x14ac:dyDescent="0.25">
      <c r="B19" s="24"/>
    </row>
    <row r="20" spans="1:2" ht="16.5" thickBot="1" x14ac:dyDescent="0.3">
      <c r="B20" s="60"/>
    </row>
    <row r="21" spans="1:2" ht="34.15" customHeight="1" thickBot="1" x14ac:dyDescent="0.3">
      <c r="A21" s="61" t="s">
        <v>305</v>
      </c>
      <c r="B21" s="197" t="str">
        <f>A15</f>
        <v>Реконструкция ТП 15/6/0,4кВ  ТП-5 с заменой ячеек КРУ 15кВ с  маслянными выключателями SCI-20 ячейки  на КРУ-15кВ с вакуумными выключателями 9 шт., заменой ячеек КРУ 6 кВ с воздушными выключателями нагрузки на КРУ  с элегазовыми выключателями нагрузки;  с установкой 2-го трансформатора 15 кВ мощностью 0,8 МВА,с приростом мощности на 0,8 МВА; заменой трансформатора 6 кВ мощностью 0,18 МВА  на 0,25 МВА, с приростом мощности 0,07 МВА, в п.Северный, Багратионовского р-на</v>
      </c>
    </row>
    <row r="22" spans="1:2" ht="30" customHeight="1" thickBot="1" x14ac:dyDescent="0.3">
      <c r="A22" s="61" t="s">
        <v>306</v>
      </c>
      <c r="B22" s="202" t="str">
        <f>'1. паспорт местоположение'!C27</f>
        <v>Багратионовский  р-н, п. Северный, Нивенское сельское поселение.</v>
      </c>
    </row>
    <row r="23" spans="1:2" ht="16.5" thickBot="1" x14ac:dyDescent="0.3">
      <c r="A23" s="61" t="s">
        <v>289</v>
      </c>
      <c r="B23" s="62" t="s">
        <v>579</v>
      </c>
    </row>
    <row r="24" spans="1:2" ht="16.5" thickBot="1" x14ac:dyDescent="0.3">
      <c r="A24" s="61" t="s">
        <v>307</v>
      </c>
      <c r="B24" s="62">
        <f>'6.2. Паспорт фин осв ввод'!C45</f>
        <v>1.05</v>
      </c>
    </row>
    <row r="25" spans="1:2" ht="16.5" thickBot="1" x14ac:dyDescent="0.3">
      <c r="A25" s="63" t="s">
        <v>308</v>
      </c>
      <c r="B25" s="201">
        <f>'6.1. Паспорт сетевой график'!C53</f>
        <v>45361</v>
      </c>
    </row>
    <row r="26" spans="1:2" ht="16.5" thickBot="1" x14ac:dyDescent="0.3">
      <c r="A26" s="64" t="s">
        <v>309</v>
      </c>
      <c r="B26" s="198" t="s">
        <v>580</v>
      </c>
    </row>
    <row r="27" spans="1:2" ht="29.25" thickBot="1" x14ac:dyDescent="0.3">
      <c r="A27" s="71" t="s">
        <v>608</v>
      </c>
      <c r="B27" s="199">
        <f>'6.2. Паспорт фин осв ввод'!C24</f>
        <v>22.597621746948949</v>
      </c>
    </row>
    <row r="28" spans="1:2" ht="42" customHeight="1" thickBot="1" x14ac:dyDescent="0.3">
      <c r="A28" s="66" t="s">
        <v>310</v>
      </c>
      <c r="B28" s="66" t="s">
        <v>550</v>
      </c>
    </row>
    <row r="29" spans="1:2" ht="29.25" thickBot="1" x14ac:dyDescent="0.3">
      <c r="A29" s="72" t="s">
        <v>311</v>
      </c>
      <c r="B29" s="102"/>
    </row>
    <row r="30" spans="1:2" ht="29.25" thickBot="1" x14ac:dyDescent="0.3">
      <c r="A30" s="72" t="s">
        <v>312</v>
      </c>
      <c r="B30" s="102"/>
    </row>
    <row r="31" spans="1:2" ht="16.5" thickBot="1" x14ac:dyDescent="0.3">
      <c r="A31" s="66" t="s">
        <v>313</v>
      </c>
      <c r="B31" s="102"/>
    </row>
    <row r="32" spans="1:2" ht="29.25" thickBot="1" x14ac:dyDescent="0.3">
      <c r="A32" s="72" t="s">
        <v>314</v>
      </c>
      <c r="B32" s="102"/>
    </row>
    <row r="33" spans="1:3" s="152" customFormat="1" ht="16.5" thickBot="1" x14ac:dyDescent="0.3">
      <c r="A33" s="159"/>
      <c r="B33" s="160"/>
      <c r="C33" s="152">
        <v>10</v>
      </c>
    </row>
    <row r="34" spans="1:3" ht="16.5" thickBot="1" x14ac:dyDescent="0.3">
      <c r="A34" s="66" t="s">
        <v>316</v>
      </c>
      <c r="B34" s="91"/>
    </row>
    <row r="35" spans="1:3" ht="16.5" thickBot="1" x14ac:dyDescent="0.3">
      <c r="A35" s="66" t="s">
        <v>317</v>
      </c>
      <c r="B35" s="102"/>
      <c r="C35" s="32">
        <v>1</v>
      </c>
    </row>
    <row r="36" spans="1:3" ht="16.5" thickBot="1" x14ac:dyDescent="0.3">
      <c r="A36" s="66" t="s">
        <v>318</v>
      </c>
      <c r="B36" s="102"/>
      <c r="C36" s="32">
        <v>2</v>
      </c>
    </row>
    <row r="37" spans="1:3" s="152" customFormat="1" ht="16.5" thickBot="1" x14ac:dyDescent="0.3">
      <c r="A37" s="89" t="s">
        <v>315</v>
      </c>
      <c r="B37" s="90"/>
      <c r="C37" s="152">
        <v>10</v>
      </c>
    </row>
    <row r="38" spans="1:3" ht="16.5" thickBot="1" x14ac:dyDescent="0.3">
      <c r="A38" s="66" t="s">
        <v>316</v>
      </c>
      <c r="B38" s="91">
        <f>B37/$B$27</f>
        <v>0</v>
      </c>
    </row>
    <row r="39" spans="1:3" ht="16.5" thickBot="1" x14ac:dyDescent="0.3">
      <c r="A39" s="66" t="s">
        <v>317</v>
      </c>
      <c r="B39" s="88"/>
      <c r="C39" s="32">
        <v>1</v>
      </c>
    </row>
    <row r="40" spans="1:3" ht="16.5" thickBot="1" x14ac:dyDescent="0.3">
      <c r="A40" s="66" t="s">
        <v>318</v>
      </c>
      <c r="B40" s="88"/>
      <c r="C40" s="32">
        <v>2</v>
      </c>
    </row>
    <row r="41" spans="1:3" ht="16.5" thickBot="1" x14ac:dyDescent="0.3">
      <c r="A41" s="89" t="s">
        <v>315</v>
      </c>
      <c r="B41" s="90"/>
      <c r="C41" s="152">
        <v>10</v>
      </c>
    </row>
    <row r="42" spans="1:3" ht="16.5" thickBot="1" x14ac:dyDescent="0.3">
      <c r="A42" s="66" t="s">
        <v>316</v>
      </c>
      <c r="B42" s="91">
        <f>B41/$B$27</f>
        <v>0</v>
      </c>
    </row>
    <row r="43" spans="1:3" ht="16.5" thickBot="1" x14ac:dyDescent="0.3">
      <c r="A43" s="66" t="s">
        <v>317</v>
      </c>
      <c r="B43" s="88"/>
      <c r="C43" s="32">
        <v>1</v>
      </c>
    </row>
    <row r="44" spans="1:3" ht="16.5" thickBot="1" x14ac:dyDescent="0.3">
      <c r="A44" s="66" t="s">
        <v>318</v>
      </c>
      <c r="B44" s="88"/>
      <c r="C44" s="32">
        <v>2</v>
      </c>
    </row>
    <row r="45" spans="1:3" ht="16.5" thickBot="1" x14ac:dyDescent="0.3">
      <c r="A45" s="89" t="s">
        <v>315</v>
      </c>
      <c r="B45" s="90"/>
      <c r="C45" s="152">
        <v>10</v>
      </c>
    </row>
    <row r="46" spans="1:3" ht="16.5" thickBot="1" x14ac:dyDescent="0.3">
      <c r="A46" s="66" t="s">
        <v>316</v>
      </c>
      <c r="B46" s="91">
        <f>B45/$B$27</f>
        <v>0</v>
      </c>
    </row>
    <row r="47" spans="1:3" ht="16.5" thickBot="1" x14ac:dyDescent="0.3">
      <c r="A47" s="66" t="s">
        <v>317</v>
      </c>
      <c r="B47" s="88"/>
      <c r="C47" s="32">
        <v>1</v>
      </c>
    </row>
    <row r="48" spans="1:3" ht="16.5" thickBot="1" x14ac:dyDescent="0.3">
      <c r="A48" s="66" t="s">
        <v>318</v>
      </c>
      <c r="B48" s="88"/>
      <c r="C48" s="32">
        <v>2</v>
      </c>
    </row>
    <row r="49" spans="1:3" ht="16.5" thickBot="1" x14ac:dyDescent="0.3">
      <c r="A49" s="89" t="s">
        <v>315</v>
      </c>
      <c r="B49" s="90"/>
      <c r="C49" s="152">
        <v>10</v>
      </c>
    </row>
    <row r="50" spans="1:3" ht="16.5" thickBot="1" x14ac:dyDescent="0.3">
      <c r="A50" s="66" t="s">
        <v>316</v>
      </c>
      <c r="B50" s="91">
        <f>B49/$B$27</f>
        <v>0</v>
      </c>
    </row>
    <row r="51" spans="1:3" ht="16.5" thickBot="1" x14ac:dyDescent="0.3">
      <c r="A51" s="66" t="s">
        <v>317</v>
      </c>
      <c r="B51" s="88"/>
      <c r="C51" s="32">
        <v>1</v>
      </c>
    </row>
    <row r="52" spans="1:3" ht="16.5" thickBot="1" x14ac:dyDescent="0.3">
      <c r="A52" s="66" t="s">
        <v>318</v>
      </c>
      <c r="B52" s="88"/>
      <c r="C52" s="32">
        <v>2</v>
      </c>
    </row>
    <row r="53" spans="1:3" ht="29.25" thickBot="1" x14ac:dyDescent="0.3">
      <c r="A53" s="72" t="s">
        <v>319</v>
      </c>
      <c r="B53" s="88">
        <f xml:space="preserve"> SUMIF(C54:C110, 20,B54:B110)</f>
        <v>0</v>
      </c>
    </row>
    <row r="54" spans="1:3" s="152" customFormat="1" ht="16.5" thickBot="1" x14ac:dyDescent="0.3">
      <c r="A54" s="89" t="s">
        <v>315</v>
      </c>
      <c r="B54" s="90"/>
      <c r="C54" s="152">
        <v>20</v>
      </c>
    </row>
    <row r="55" spans="1:3" ht="16.5" thickBot="1" x14ac:dyDescent="0.3">
      <c r="A55" s="66" t="s">
        <v>316</v>
      </c>
      <c r="B55" s="91">
        <f>B54/$B$27</f>
        <v>0</v>
      </c>
    </row>
    <row r="56" spans="1:3" ht="16.5" thickBot="1" x14ac:dyDescent="0.3">
      <c r="A56" s="66" t="s">
        <v>317</v>
      </c>
      <c r="B56" s="88"/>
      <c r="C56" s="32">
        <v>1</v>
      </c>
    </row>
    <row r="57" spans="1:3" ht="16.5" thickBot="1" x14ac:dyDescent="0.3">
      <c r="A57" s="66" t="s">
        <v>318</v>
      </c>
      <c r="B57" s="88"/>
      <c r="C57" s="32">
        <v>2</v>
      </c>
    </row>
    <row r="58" spans="1:3" s="152" customFormat="1" ht="16.5" thickBot="1" x14ac:dyDescent="0.3">
      <c r="A58" s="89" t="s">
        <v>315</v>
      </c>
      <c r="B58" s="90"/>
      <c r="C58" s="152">
        <v>20</v>
      </c>
    </row>
    <row r="59" spans="1:3" ht="16.5" thickBot="1" x14ac:dyDescent="0.3">
      <c r="A59" s="66" t="s">
        <v>316</v>
      </c>
      <c r="B59" s="91">
        <f>B58/$B$27</f>
        <v>0</v>
      </c>
    </row>
    <row r="60" spans="1:3" ht="16.5" thickBot="1" x14ac:dyDescent="0.3">
      <c r="A60" s="66" t="s">
        <v>317</v>
      </c>
      <c r="B60" s="88"/>
      <c r="C60" s="32">
        <v>1</v>
      </c>
    </row>
    <row r="61" spans="1:3" ht="16.5" thickBot="1" x14ac:dyDescent="0.3">
      <c r="A61" s="66" t="s">
        <v>318</v>
      </c>
      <c r="B61" s="88"/>
      <c r="C61" s="32">
        <v>2</v>
      </c>
    </row>
    <row r="62" spans="1:3" s="152" customFormat="1" ht="16.5" thickBot="1" x14ac:dyDescent="0.3">
      <c r="A62" s="89" t="s">
        <v>315</v>
      </c>
      <c r="B62" s="90"/>
      <c r="C62" s="152">
        <v>20</v>
      </c>
    </row>
    <row r="63" spans="1:3" ht="16.5" thickBot="1" x14ac:dyDescent="0.3">
      <c r="A63" s="66" t="s">
        <v>316</v>
      </c>
      <c r="B63" s="91">
        <f>B62/$B$27</f>
        <v>0</v>
      </c>
    </row>
    <row r="64" spans="1:3" ht="16.5" thickBot="1" x14ac:dyDescent="0.3">
      <c r="A64" s="66" t="s">
        <v>317</v>
      </c>
      <c r="B64" s="88"/>
      <c r="C64" s="32">
        <v>1</v>
      </c>
    </row>
    <row r="65" spans="1:3" ht="16.5" thickBot="1" x14ac:dyDescent="0.3">
      <c r="A65" s="66" t="s">
        <v>318</v>
      </c>
      <c r="B65" s="88"/>
      <c r="C65" s="32">
        <v>2</v>
      </c>
    </row>
    <row r="66" spans="1:3" s="152" customFormat="1" ht="16.5" thickBot="1" x14ac:dyDescent="0.3">
      <c r="A66" s="89" t="s">
        <v>315</v>
      </c>
      <c r="B66" s="90"/>
      <c r="C66" s="152">
        <v>20</v>
      </c>
    </row>
    <row r="67" spans="1:3" ht="16.5" thickBot="1" x14ac:dyDescent="0.3">
      <c r="A67" s="66" t="s">
        <v>316</v>
      </c>
      <c r="B67" s="91">
        <f>B66/$B$27</f>
        <v>0</v>
      </c>
    </row>
    <row r="68" spans="1:3" ht="16.5" thickBot="1" x14ac:dyDescent="0.3">
      <c r="A68" s="66" t="s">
        <v>317</v>
      </c>
      <c r="B68" s="88"/>
      <c r="C68" s="32">
        <v>1</v>
      </c>
    </row>
    <row r="69" spans="1:3" ht="16.5" thickBot="1" x14ac:dyDescent="0.3">
      <c r="A69" s="66" t="s">
        <v>318</v>
      </c>
      <c r="B69" s="88"/>
      <c r="C69" s="32">
        <v>2</v>
      </c>
    </row>
    <row r="70" spans="1:3" ht="29.25" thickBot="1" x14ac:dyDescent="0.3">
      <c r="A70" s="72" t="s">
        <v>320</v>
      </c>
      <c r="B70" s="88"/>
    </row>
    <row r="71" spans="1:3" s="152" customFormat="1" ht="16.5" thickBot="1" x14ac:dyDescent="0.3">
      <c r="A71" s="159"/>
      <c r="B71" s="160"/>
      <c r="C71" s="152">
        <v>30</v>
      </c>
    </row>
    <row r="72" spans="1:3" ht="16.5" thickBot="1" x14ac:dyDescent="0.3">
      <c r="A72" s="66" t="s">
        <v>316</v>
      </c>
      <c r="B72" s="91"/>
    </row>
    <row r="73" spans="1:3" ht="16.5" thickBot="1" x14ac:dyDescent="0.3">
      <c r="A73" s="66" t="s">
        <v>317</v>
      </c>
      <c r="B73" s="102"/>
      <c r="C73" s="32">
        <v>1</v>
      </c>
    </row>
    <row r="74" spans="1:3" ht="16.5" thickBot="1" x14ac:dyDescent="0.3">
      <c r="A74" s="66" t="s">
        <v>318</v>
      </c>
      <c r="B74" s="102"/>
      <c r="C74" s="32">
        <v>2</v>
      </c>
    </row>
    <row r="75" spans="1:3" s="152" customFormat="1" ht="16.5" thickBot="1" x14ac:dyDescent="0.3">
      <c r="A75" s="159"/>
      <c r="B75" s="160"/>
      <c r="C75" s="152">
        <v>30</v>
      </c>
    </row>
    <row r="76" spans="1:3" ht="16.5" thickBot="1" x14ac:dyDescent="0.3">
      <c r="A76" s="66" t="s">
        <v>316</v>
      </c>
      <c r="B76" s="91"/>
    </row>
    <row r="77" spans="1:3" ht="16.5" thickBot="1" x14ac:dyDescent="0.3">
      <c r="A77" s="66" t="s">
        <v>317</v>
      </c>
      <c r="B77" s="102"/>
      <c r="C77" s="32">
        <v>1</v>
      </c>
    </row>
    <row r="78" spans="1:3" ht="16.5" thickBot="1" x14ac:dyDescent="0.3">
      <c r="A78" s="66" t="s">
        <v>318</v>
      </c>
      <c r="B78" s="102"/>
      <c r="C78" s="32">
        <v>2</v>
      </c>
    </row>
    <row r="79" spans="1:3" s="152" customFormat="1" ht="16.5" thickBot="1" x14ac:dyDescent="0.3">
      <c r="A79" s="159"/>
      <c r="B79" s="160"/>
      <c r="C79" s="152">
        <v>30</v>
      </c>
    </row>
    <row r="80" spans="1:3" ht="16.5" thickBot="1" x14ac:dyDescent="0.3">
      <c r="A80" s="66" t="s">
        <v>316</v>
      </c>
      <c r="B80" s="91"/>
    </row>
    <row r="81" spans="1:3" ht="16.5" thickBot="1" x14ac:dyDescent="0.3">
      <c r="A81" s="66" t="s">
        <v>317</v>
      </c>
      <c r="B81" s="88"/>
      <c r="C81" s="32">
        <v>1</v>
      </c>
    </row>
    <row r="82" spans="1:3" ht="16.5" thickBot="1" x14ac:dyDescent="0.3">
      <c r="A82" s="66" t="s">
        <v>318</v>
      </c>
      <c r="B82" s="88"/>
      <c r="C82" s="32">
        <v>2</v>
      </c>
    </row>
    <row r="83" spans="1:3" s="152" customFormat="1" ht="16.5" thickBot="1" x14ac:dyDescent="0.3">
      <c r="A83" s="89" t="s">
        <v>315</v>
      </c>
      <c r="B83" s="90"/>
      <c r="C83" s="152">
        <v>30</v>
      </c>
    </row>
    <row r="84" spans="1:3" ht="16.5" thickBot="1" x14ac:dyDescent="0.3">
      <c r="A84" s="66" t="s">
        <v>316</v>
      </c>
      <c r="B84" s="91"/>
    </row>
    <row r="85" spans="1:3" ht="16.5" thickBot="1" x14ac:dyDescent="0.3">
      <c r="A85" s="66" t="s">
        <v>317</v>
      </c>
      <c r="B85" s="88"/>
      <c r="C85" s="32">
        <v>1</v>
      </c>
    </row>
    <row r="86" spans="1:3" ht="16.5" thickBot="1" x14ac:dyDescent="0.3">
      <c r="A86" s="66" t="s">
        <v>318</v>
      </c>
      <c r="B86" s="88"/>
      <c r="C86" s="32">
        <v>2</v>
      </c>
    </row>
    <row r="87" spans="1:3" s="152" customFormat="1" ht="16.5" thickBot="1" x14ac:dyDescent="0.3">
      <c r="A87" s="89" t="s">
        <v>315</v>
      </c>
      <c r="B87" s="90"/>
      <c r="C87" s="152">
        <v>30</v>
      </c>
    </row>
    <row r="88" spans="1:3" ht="16.5" thickBot="1" x14ac:dyDescent="0.3">
      <c r="A88" s="66" t="s">
        <v>316</v>
      </c>
      <c r="B88" s="91"/>
    </row>
    <row r="89" spans="1:3" ht="16.5" thickBot="1" x14ac:dyDescent="0.3">
      <c r="A89" s="66" t="s">
        <v>317</v>
      </c>
      <c r="B89" s="88"/>
      <c r="C89" s="32">
        <v>1</v>
      </c>
    </row>
    <row r="90" spans="1:3" ht="16.5" thickBot="1" x14ac:dyDescent="0.3">
      <c r="A90" s="66" t="s">
        <v>318</v>
      </c>
      <c r="B90" s="88"/>
      <c r="C90" s="32">
        <v>2</v>
      </c>
    </row>
    <row r="91" spans="1:3" s="152" customFormat="1" ht="16.5" thickBot="1" x14ac:dyDescent="0.3">
      <c r="A91" s="89" t="s">
        <v>315</v>
      </c>
      <c r="B91" s="90"/>
      <c r="C91" s="152">
        <v>30</v>
      </c>
    </row>
    <row r="92" spans="1:3" ht="16.5" thickBot="1" x14ac:dyDescent="0.3">
      <c r="A92" s="66" t="s">
        <v>316</v>
      </c>
      <c r="B92" s="91"/>
    </row>
    <row r="93" spans="1:3" ht="16.5" thickBot="1" x14ac:dyDescent="0.3">
      <c r="A93" s="66" t="s">
        <v>317</v>
      </c>
      <c r="B93" s="88"/>
      <c r="C93" s="32">
        <v>1</v>
      </c>
    </row>
    <row r="94" spans="1:3" ht="16.5" thickBot="1" x14ac:dyDescent="0.3">
      <c r="A94" s="66" t="s">
        <v>318</v>
      </c>
      <c r="B94" s="88"/>
      <c r="C94" s="32">
        <v>2</v>
      </c>
    </row>
    <row r="95" spans="1:3" s="152" customFormat="1" ht="16.5" thickBot="1" x14ac:dyDescent="0.3">
      <c r="A95" s="89" t="s">
        <v>315</v>
      </c>
      <c r="B95" s="90"/>
      <c r="C95" s="152">
        <v>30</v>
      </c>
    </row>
    <row r="96" spans="1:3" ht="16.5" thickBot="1" x14ac:dyDescent="0.3">
      <c r="A96" s="66" t="s">
        <v>316</v>
      </c>
      <c r="B96" s="91"/>
    </row>
    <row r="97" spans="1:3" ht="16.5" thickBot="1" x14ac:dyDescent="0.3">
      <c r="A97" s="66" t="s">
        <v>317</v>
      </c>
      <c r="B97" s="88"/>
      <c r="C97" s="32">
        <v>1</v>
      </c>
    </row>
    <row r="98" spans="1:3" ht="16.5" thickBot="1" x14ac:dyDescent="0.3">
      <c r="A98" s="66" t="s">
        <v>318</v>
      </c>
      <c r="B98" s="88"/>
      <c r="C98" s="32">
        <v>2</v>
      </c>
    </row>
    <row r="99" spans="1:3" s="152" customFormat="1" ht="16.5" thickBot="1" x14ac:dyDescent="0.3">
      <c r="A99" s="89" t="s">
        <v>315</v>
      </c>
      <c r="B99" s="90"/>
      <c r="C99" s="152">
        <v>30</v>
      </c>
    </row>
    <row r="100" spans="1:3" ht="16.5" thickBot="1" x14ac:dyDescent="0.3">
      <c r="A100" s="66" t="s">
        <v>316</v>
      </c>
      <c r="B100" s="91">
        <f>B99/$B$27</f>
        <v>0</v>
      </c>
    </row>
    <row r="101" spans="1:3" ht="16.5" thickBot="1" x14ac:dyDescent="0.3">
      <c r="A101" s="66" t="s">
        <v>317</v>
      </c>
      <c r="B101" s="88"/>
      <c r="C101" s="32">
        <v>1</v>
      </c>
    </row>
    <row r="102" spans="1:3" ht="16.5" thickBot="1" x14ac:dyDescent="0.3">
      <c r="A102" s="66" t="s">
        <v>318</v>
      </c>
      <c r="B102" s="88"/>
      <c r="C102" s="32">
        <v>2</v>
      </c>
    </row>
    <row r="103" spans="1:3" s="152" customFormat="1" ht="16.5" thickBot="1" x14ac:dyDescent="0.3">
      <c r="A103" s="89" t="s">
        <v>315</v>
      </c>
      <c r="B103" s="90"/>
      <c r="C103" s="152">
        <v>30</v>
      </c>
    </row>
    <row r="104" spans="1:3" ht="16.5" thickBot="1" x14ac:dyDescent="0.3">
      <c r="A104" s="66" t="s">
        <v>316</v>
      </c>
      <c r="B104" s="91">
        <f>B103/$B$27</f>
        <v>0</v>
      </c>
    </row>
    <row r="105" spans="1:3" ht="16.5" thickBot="1" x14ac:dyDescent="0.3">
      <c r="A105" s="66" t="s">
        <v>317</v>
      </c>
      <c r="B105" s="88"/>
      <c r="C105" s="32">
        <v>1</v>
      </c>
    </row>
    <row r="106" spans="1:3" ht="16.5" thickBot="1" x14ac:dyDescent="0.3">
      <c r="A106" s="66" t="s">
        <v>318</v>
      </c>
      <c r="B106" s="88"/>
      <c r="C106" s="32">
        <v>2</v>
      </c>
    </row>
    <row r="107" spans="1:3" s="152" customFormat="1" ht="16.5" thickBot="1" x14ac:dyDescent="0.3">
      <c r="A107" s="89" t="s">
        <v>315</v>
      </c>
      <c r="B107" s="90"/>
      <c r="C107" s="152">
        <v>30</v>
      </c>
    </row>
    <row r="108" spans="1:3" ht="16.5" thickBot="1" x14ac:dyDescent="0.3">
      <c r="A108" s="66" t="s">
        <v>316</v>
      </c>
      <c r="B108" s="91">
        <f>B107/$B$27</f>
        <v>0</v>
      </c>
    </row>
    <row r="109" spans="1:3" ht="16.5" thickBot="1" x14ac:dyDescent="0.3">
      <c r="A109" s="66" t="s">
        <v>317</v>
      </c>
      <c r="B109" s="88"/>
      <c r="C109" s="32">
        <v>1</v>
      </c>
    </row>
    <row r="110" spans="1:3" ht="16.5" thickBot="1" x14ac:dyDescent="0.3">
      <c r="A110" s="66" t="s">
        <v>318</v>
      </c>
      <c r="B110" s="88"/>
      <c r="C110" s="32">
        <v>2</v>
      </c>
    </row>
    <row r="111" spans="1:3" ht="29.25" thickBot="1" x14ac:dyDescent="0.3">
      <c r="A111" s="65" t="s">
        <v>321</v>
      </c>
      <c r="B111" s="91">
        <f>B30/B27</f>
        <v>0</v>
      </c>
    </row>
    <row r="112" spans="1:3" ht="16.5" thickBot="1" x14ac:dyDescent="0.3">
      <c r="A112" s="67" t="s">
        <v>313</v>
      </c>
      <c r="B112" s="73"/>
    </row>
    <row r="113" spans="1:2" ht="16.5" thickBot="1" x14ac:dyDescent="0.3">
      <c r="A113" s="67" t="s">
        <v>322</v>
      </c>
      <c r="B113" s="91">
        <f>B33/B27</f>
        <v>0</v>
      </c>
    </row>
    <row r="114" spans="1:2" ht="16.5" thickBot="1" x14ac:dyDescent="0.3">
      <c r="A114" s="67" t="s">
        <v>323</v>
      </c>
      <c r="B114" s="91"/>
    </row>
    <row r="115" spans="1:2" ht="16.5" thickBot="1" x14ac:dyDescent="0.3">
      <c r="A115" s="67" t="s">
        <v>324</v>
      </c>
      <c r="B115" s="91">
        <f>B70/B27</f>
        <v>0</v>
      </c>
    </row>
    <row r="116" spans="1:2" ht="16.5" thickBot="1" x14ac:dyDescent="0.3">
      <c r="A116" s="63" t="s">
        <v>325</v>
      </c>
      <c r="B116" s="92">
        <f>B117/$B$27</f>
        <v>0</v>
      </c>
    </row>
    <row r="117" spans="1:2" ht="16.5" thickBot="1" x14ac:dyDescent="0.3">
      <c r="A117" s="63" t="s">
        <v>326</v>
      </c>
      <c r="B117" s="177">
        <f xml:space="preserve"> SUMIF(C33:C110, 1,B33:B110)</f>
        <v>0</v>
      </c>
    </row>
    <row r="118" spans="1:2" ht="16.5" thickBot="1" x14ac:dyDescent="0.3">
      <c r="A118" s="63" t="s">
        <v>327</v>
      </c>
      <c r="B118" s="92">
        <f>B119/$B$27</f>
        <v>0</v>
      </c>
    </row>
    <row r="119" spans="1:2" ht="16.5" thickBot="1" x14ac:dyDescent="0.3">
      <c r="A119" s="64" t="s">
        <v>328</v>
      </c>
      <c r="B119" s="177">
        <f xml:space="preserve"> SUMIF(C33:C110, 2,B33:B110)</f>
        <v>0</v>
      </c>
    </row>
    <row r="120" spans="1:2" ht="15.75" customHeight="1" x14ac:dyDescent="0.25">
      <c r="A120" s="65" t="s">
        <v>329</v>
      </c>
      <c r="B120" s="67" t="s">
        <v>330</v>
      </c>
    </row>
    <row r="121" spans="1:2" x14ac:dyDescent="0.25">
      <c r="A121" s="69" t="s">
        <v>331</v>
      </c>
      <c r="B121" s="69" t="str">
        <f>A9</f>
        <v xml:space="preserve">Акционерное общество "Западная энергетическая компания" </v>
      </c>
    </row>
    <row r="122" spans="1:2" x14ac:dyDescent="0.25">
      <c r="A122" s="69" t="s">
        <v>332</v>
      </c>
      <c r="B122" s="69"/>
    </row>
    <row r="123" spans="1:2" x14ac:dyDescent="0.25">
      <c r="A123" s="69" t="s">
        <v>333</v>
      </c>
      <c r="B123" s="69"/>
    </row>
    <row r="124" spans="1:2" x14ac:dyDescent="0.25">
      <c r="A124" s="69" t="s">
        <v>334</v>
      </c>
      <c r="B124" s="69"/>
    </row>
    <row r="125" spans="1:2" ht="16.5" thickBot="1" x14ac:dyDescent="0.3">
      <c r="A125" s="70" t="s">
        <v>335</v>
      </c>
      <c r="B125" s="70"/>
    </row>
    <row r="126" spans="1:2" ht="30.75" thickBot="1" x14ac:dyDescent="0.3">
      <c r="A126" s="67" t="s">
        <v>336</v>
      </c>
      <c r="B126" s="68"/>
    </row>
    <row r="127" spans="1:2" ht="29.25" thickBot="1" x14ac:dyDescent="0.3">
      <c r="A127" s="63" t="s">
        <v>337</v>
      </c>
      <c r="B127" s="178"/>
    </row>
    <row r="128" spans="1:2" ht="16.5" thickBot="1" x14ac:dyDescent="0.3">
      <c r="A128" s="67" t="s">
        <v>313</v>
      </c>
      <c r="B128" s="179"/>
    </row>
    <row r="129" spans="1:2" ht="16.5" thickBot="1" x14ac:dyDescent="0.3">
      <c r="A129" s="67" t="s">
        <v>338</v>
      </c>
      <c r="B129" s="178"/>
    </row>
    <row r="130" spans="1:2" ht="16.5" thickBot="1" x14ac:dyDescent="0.3">
      <c r="A130" s="67" t="s">
        <v>339</v>
      </c>
      <c r="B130" s="179"/>
    </row>
    <row r="131" spans="1:2" ht="16.5" thickBot="1" x14ac:dyDescent="0.3">
      <c r="A131" s="76" t="s">
        <v>340</v>
      </c>
      <c r="B131" s="105"/>
    </row>
    <row r="132" spans="1:2" ht="16.5" thickBot="1" x14ac:dyDescent="0.3">
      <c r="A132" s="63" t="s">
        <v>341</v>
      </c>
      <c r="B132" s="74"/>
    </row>
    <row r="133" spans="1:2" ht="16.5" thickBot="1" x14ac:dyDescent="0.3">
      <c r="A133" s="69" t="s">
        <v>342</v>
      </c>
      <c r="B133" s="176">
        <f>'6.1. Паспорт сетевой график'!H43</f>
        <v>45534</v>
      </c>
    </row>
    <row r="134" spans="1:2" ht="16.5" thickBot="1" x14ac:dyDescent="0.3">
      <c r="A134" s="69" t="s">
        <v>343</v>
      </c>
      <c r="B134" s="77" t="s">
        <v>545</v>
      </c>
    </row>
    <row r="135" spans="1:2" ht="16.5" thickBot="1" x14ac:dyDescent="0.3">
      <c r="A135" s="69" t="s">
        <v>344</v>
      </c>
      <c r="B135" s="77" t="s">
        <v>545</v>
      </c>
    </row>
    <row r="136" spans="1:2" ht="29.25" thickBot="1" x14ac:dyDescent="0.3">
      <c r="A136" s="78" t="s">
        <v>345</v>
      </c>
      <c r="B136" s="75" t="s">
        <v>546</v>
      </c>
    </row>
    <row r="137" spans="1:2" ht="28.5" customHeight="1" x14ac:dyDescent="0.25">
      <c r="A137" s="65" t="s">
        <v>346</v>
      </c>
      <c r="B137" s="409" t="s">
        <v>545</v>
      </c>
    </row>
    <row r="138" spans="1:2" x14ac:dyDescent="0.25">
      <c r="A138" s="69" t="s">
        <v>347</v>
      </c>
      <c r="B138" s="410"/>
    </row>
    <row r="139" spans="1:2" x14ac:dyDescent="0.25">
      <c r="A139" s="69" t="s">
        <v>348</v>
      </c>
      <c r="B139" s="410"/>
    </row>
    <row r="140" spans="1:2" x14ac:dyDescent="0.25">
      <c r="A140" s="69" t="s">
        <v>349</v>
      </c>
      <c r="B140" s="410"/>
    </row>
    <row r="141" spans="1:2" x14ac:dyDescent="0.25">
      <c r="A141" s="69" t="s">
        <v>350</v>
      </c>
      <c r="B141" s="410"/>
    </row>
    <row r="142" spans="1:2" ht="16.5" thickBot="1" x14ac:dyDescent="0.3">
      <c r="A142" s="79" t="s">
        <v>351</v>
      </c>
      <c r="B142" s="411"/>
    </row>
    <row r="145" spans="1:2" x14ac:dyDescent="0.25">
      <c r="A145" s="80"/>
      <c r="B145" s="81"/>
    </row>
    <row r="146" spans="1:2" x14ac:dyDescent="0.25">
      <c r="B146" s="82"/>
    </row>
    <row r="147" spans="1:2" x14ac:dyDescent="0.25">
      <c r="B147" s="83"/>
    </row>
  </sheetData>
  <mergeCells count="10">
    <mergeCell ref="A5:B5"/>
    <mergeCell ref="A7:B7"/>
    <mergeCell ref="A9:B9"/>
    <mergeCell ref="A10:B10"/>
    <mergeCell ref="A12:B12"/>
    <mergeCell ref="A15:B15"/>
    <mergeCell ref="A16:B16"/>
    <mergeCell ref="A18:B18"/>
    <mergeCell ref="B137:B142"/>
    <mergeCell ref="A13:B13"/>
  </mergeCells>
  <hyperlinks>
    <hyperlink ref="B22" r:id="rId1" display="J 19-09_ карты_ТП-5.kml" xr:uid="{00000000-0004-0000-0C00-000000000000}"/>
  </hyperlinks>
  <pageMargins left="0.70866141732283472" right="0.70866141732283472" top="0.74803149606299213" bottom="0.74803149606299213" header="0.31496062992125984" footer="0.31496062992125984"/>
  <pageSetup paperSize="8" scale="42"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3"/>
  <sheetViews>
    <sheetView view="pageBreakPreview" topLeftCell="J1" zoomScale="70" zoomScaleSheetLayoutView="70" workbookViewId="0">
      <selection activeCell="O29" sqref="O29"/>
    </sheetView>
  </sheetViews>
  <sheetFormatPr defaultColWidth="9.140625" defaultRowHeight="15" x14ac:dyDescent="0.25"/>
  <cols>
    <col min="1" max="1" width="7.42578125" style="118" customWidth="1"/>
    <col min="2" max="2" width="35.85546875" style="118" customWidth="1"/>
    <col min="3" max="3" width="31.140625" style="118" customWidth="1"/>
    <col min="4" max="4" width="25" style="118" customWidth="1"/>
    <col min="5" max="5" width="50" style="118" customWidth="1"/>
    <col min="6" max="6" width="57" style="118" customWidth="1"/>
    <col min="7" max="7" width="75" style="118" customWidth="1"/>
    <col min="8" max="10" width="20.5703125" style="118" customWidth="1"/>
    <col min="11" max="11" width="16" style="118" customWidth="1"/>
    <col min="12" max="12" width="20.5703125" style="118" customWidth="1"/>
    <col min="13" max="13" width="21.28515625" style="118" customWidth="1"/>
    <col min="14" max="14" width="23.85546875" style="118" customWidth="1"/>
    <col min="15" max="15" width="17.85546875" style="118" customWidth="1"/>
    <col min="16" max="16" width="23.85546875" style="118" customWidth="1"/>
    <col min="17" max="17" width="127.5703125" style="118" customWidth="1"/>
    <col min="18" max="18" width="92.42578125" style="118" customWidth="1"/>
    <col min="19" max="19" width="51.5703125" style="118" customWidth="1"/>
    <col min="20" max="16384" width="9.140625" style="118"/>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302" t="str">
        <f>'1. паспорт местоположение'!A5:C5</f>
        <v>Год раскрытия информации: 2024  год</v>
      </c>
      <c r="B4" s="302"/>
      <c r="C4" s="302"/>
      <c r="D4" s="302"/>
      <c r="E4" s="302"/>
      <c r="F4" s="302"/>
      <c r="G4" s="302"/>
      <c r="H4" s="302"/>
      <c r="I4" s="302"/>
      <c r="J4" s="302"/>
      <c r="K4" s="302"/>
      <c r="L4" s="302"/>
      <c r="M4" s="302"/>
      <c r="N4" s="302"/>
      <c r="O4" s="302"/>
      <c r="P4" s="302"/>
      <c r="Q4" s="302"/>
      <c r="R4" s="302"/>
      <c r="S4" s="302"/>
    </row>
    <row r="5" spans="1:28" s="14" customFormat="1" ht="15.75" x14ac:dyDescent="0.2">
      <c r="A5" s="106"/>
    </row>
    <row r="6" spans="1:28" s="14" customFormat="1" ht="18.75" x14ac:dyDescent="0.2">
      <c r="A6" s="311" t="s">
        <v>7</v>
      </c>
      <c r="B6" s="311"/>
      <c r="C6" s="311"/>
      <c r="D6" s="311"/>
      <c r="E6" s="311"/>
      <c r="F6" s="311"/>
      <c r="G6" s="311"/>
      <c r="H6" s="311"/>
      <c r="I6" s="311"/>
      <c r="J6" s="311"/>
      <c r="K6" s="311"/>
      <c r="L6" s="311"/>
      <c r="M6" s="311"/>
      <c r="N6" s="311"/>
      <c r="O6" s="311"/>
      <c r="P6" s="311"/>
      <c r="Q6" s="311"/>
      <c r="R6" s="311"/>
      <c r="S6" s="311"/>
      <c r="T6" s="108"/>
      <c r="U6" s="108"/>
      <c r="V6" s="108"/>
      <c r="W6" s="108"/>
      <c r="X6" s="108"/>
      <c r="Y6" s="108"/>
      <c r="Z6" s="108"/>
      <c r="AA6" s="108"/>
      <c r="AB6" s="108"/>
    </row>
    <row r="7" spans="1:28" s="14" customFormat="1" ht="18.75" x14ac:dyDescent="0.2">
      <c r="A7" s="311"/>
      <c r="B7" s="311"/>
      <c r="C7" s="311"/>
      <c r="D7" s="311"/>
      <c r="E7" s="311"/>
      <c r="F7" s="311"/>
      <c r="G7" s="311"/>
      <c r="H7" s="311"/>
      <c r="I7" s="311"/>
      <c r="J7" s="311"/>
      <c r="K7" s="311"/>
      <c r="L7" s="311"/>
      <c r="M7" s="311"/>
      <c r="N7" s="311"/>
      <c r="O7" s="311"/>
      <c r="P7" s="311"/>
      <c r="Q7" s="311"/>
      <c r="R7" s="311"/>
      <c r="S7" s="311"/>
      <c r="T7" s="108"/>
      <c r="U7" s="108"/>
      <c r="V7" s="108"/>
      <c r="W7" s="108"/>
      <c r="X7" s="108"/>
      <c r="Y7" s="108"/>
      <c r="Z7" s="108"/>
      <c r="AA7" s="108"/>
      <c r="AB7" s="108"/>
    </row>
    <row r="8" spans="1:28" s="14" customFormat="1" ht="18.75" x14ac:dyDescent="0.2">
      <c r="A8" s="309" t="str">
        <f>'1. паспорт местоположение'!A9:C9</f>
        <v xml:space="preserve">Акционерное общество "Западная энергетическая компания" </v>
      </c>
      <c r="B8" s="309"/>
      <c r="C8" s="309"/>
      <c r="D8" s="309"/>
      <c r="E8" s="309"/>
      <c r="F8" s="309"/>
      <c r="G8" s="309"/>
      <c r="H8" s="309"/>
      <c r="I8" s="309"/>
      <c r="J8" s="309"/>
      <c r="K8" s="309"/>
      <c r="L8" s="309"/>
      <c r="M8" s="309"/>
      <c r="N8" s="309"/>
      <c r="O8" s="309"/>
      <c r="P8" s="309"/>
      <c r="Q8" s="309"/>
      <c r="R8" s="309"/>
      <c r="S8" s="309"/>
      <c r="T8" s="108"/>
      <c r="U8" s="108"/>
      <c r="V8" s="108"/>
      <c r="W8" s="108"/>
      <c r="X8" s="108"/>
      <c r="Y8" s="108"/>
      <c r="Z8" s="108"/>
      <c r="AA8" s="108"/>
      <c r="AB8" s="108"/>
    </row>
    <row r="9" spans="1:28" s="14" customFormat="1" ht="18.75" x14ac:dyDescent="0.2">
      <c r="A9" s="315" t="s">
        <v>6</v>
      </c>
      <c r="B9" s="315"/>
      <c r="C9" s="315"/>
      <c r="D9" s="315"/>
      <c r="E9" s="315"/>
      <c r="F9" s="315"/>
      <c r="G9" s="315"/>
      <c r="H9" s="315"/>
      <c r="I9" s="315"/>
      <c r="J9" s="315"/>
      <c r="K9" s="315"/>
      <c r="L9" s="315"/>
      <c r="M9" s="315"/>
      <c r="N9" s="315"/>
      <c r="O9" s="315"/>
      <c r="P9" s="315"/>
      <c r="Q9" s="315"/>
      <c r="R9" s="315"/>
      <c r="S9" s="315"/>
      <c r="T9" s="108"/>
      <c r="U9" s="108"/>
      <c r="V9" s="108"/>
      <c r="W9" s="108"/>
      <c r="X9" s="108"/>
      <c r="Y9" s="108"/>
      <c r="Z9" s="108"/>
      <c r="AA9" s="108"/>
      <c r="AB9" s="108"/>
    </row>
    <row r="10" spans="1:28" s="14" customFormat="1" ht="18.75" x14ac:dyDescent="0.2">
      <c r="A10" s="311"/>
      <c r="B10" s="311"/>
      <c r="C10" s="311"/>
      <c r="D10" s="311"/>
      <c r="E10" s="311"/>
      <c r="F10" s="311"/>
      <c r="G10" s="311"/>
      <c r="H10" s="311"/>
      <c r="I10" s="311"/>
      <c r="J10" s="311"/>
      <c r="K10" s="311"/>
      <c r="L10" s="311"/>
      <c r="M10" s="311"/>
      <c r="N10" s="311"/>
      <c r="O10" s="311"/>
      <c r="P10" s="311"/>
      <c r="Q10" s="311"/>
      <c r="R10" s="311"/>
      <c r="S10" s="311"/>
      <c r="T10" s="108"/>
      <c r="U10" s="108"/>
      <c r="V10" s="108"/>
      <c r="W10" s="108"/>
      <c r="X10" s="108"/>
      <c r="Y10" s="108"/>
      <c r="Z10" s="108"/>
      <c r="AA10" s="108"/>
      <c r="AB10" s="108"/>
    </row>
    <row r="11" spans="1:28" s="14" customFormat="1" ht="18.75" x14ac:dyDescent="0.2">
      <c r="A11" s="309" t="str">
        <f>'1. паспорт местоположение'!A12:C12</f>
        <v>J 19-09</v>
      </c>
      <c r="B11" s="309"/>
      <c r="C11" s="309"/>
      <c r="D11" s="309"/>
      <c r="E11" s="309"/>
      <c r="F11" s="309"/>
      <c r="G11" s="309"/>
      <c r="H11" s="309"/>
      <c r="I11" s="309"/>
      <c r="J11" s="309"/>
      <c r="K11" s="309"/>
      <c r="L11" s="309"/>
      <c r="M11" s="309"/>
      <c r="N11" s="309"/>
      <c r="O11" s="309"/>
      <c r="P11" s="309"/>
      <c r="Q11" s="309"/>
      <c r="R11" s="309"/>
      <c r="S11" s="309"/>
      <c r="T11" s="108"/>
      <c r="U11" s="108"/>
      <c r="V11" s="108"/>
      <c r="W11" s="108"/>
      <c r="X11" s="108"/>
      <c r="Y11" s="108"/>
      <c r="Z11" s="108"/>
      <c r="AA11" s="108"/>
      <c r="AB11" s="108"/>
    </row>
    <row r="12" spans="1:28" s="14" customFormat="1" ht="18.75" x14ac:dyDescent="0.2">
      <c r="A12" s="315" t="s">
        <v>5</v>
      </c>
      <c r="B12" s="315"/>
      <c r="C12" s="315"/>
      <c r="D12" s="315"/>
      <c r="E12" s="315"/>
      <c r="F12" s="315"/>
      <c r="G12" s="315"/>
      <c r="H12" s="315"/>
      <c r="I12" s="315"/>
      <c r="J12" s="315"/>
      <c r="K12" s="315"/>
      <c r="L12" s="315"/>
      <c r="M12" s="315"/>
      <c r="N12" s="315"/>
      <c r="O12" s="315"/>
      <c r="P12" s="315"/>
      <c r="Q12" s="315"/>
      <c r="R12" s="315"/>
      <c r="S12" s="315"/>
      <c r="T12" s="108"/>
      <c r="U12" s="108"/>
      <c r="V12" s="108"/>
      <c r="W12" s="108"/>
      <c r="X12" s="108"/>
      <c r="Y12" s="108"/>
      <c r="Z12" s="108"/>
      <c r="AA12" s="108"/>
      <c r="AB12" s="108"/>
    </row>
    <row r="13" spans="1:28" s="14" customFormat="1" ht="15.75" customHeight="1" x14ac:dyDescent="0.2">
      <c r="A13" s="316"/>
      <c r="B13" s="316"/>
      <c r="C13" s="316"/>
      <c r="D13" s="316"/>
      <c r="E13" s="316"/>
      <c r="F13" s="316"/>
      <c r="G13" s="316"/>
      <c r="H13" s="316"/>
      <c r="I13" s="316"/>
      <c r="J13" s="316"/>
      <c r="K13" s="316"/>
      <c r="L13" s="316"/>
      <c r="M13" s="316"/>
      <c r="N13" s="316"/>
      <c r="O13" s="316"/>
      <c r="P13" s="316"/>
      <c r="Q13" s="316"/>
      <c r="R13" s="316"/>
      <c r="S13" s="316"/>
      <c r="T13" s="109"/>
      <c r="U13" s="109"/>
      <c r="V13" s="109"/>
      <c r="W13" s="109"/>
      <c r="X13" s="109"/>
      <c r="Y13" s="109"/>
      <c r="Z13" s="109"/>
      <c r="AA13" s="109"/>
      <c r="AB13" s="109"/>
    </row>
    <row r="14" spans="1:28" s="107" customFormat="1" ht="15.75" x14ac:dyDescent="0.2">
      <c r="A14" s="309" t="str">
        <f>'1. паспорт местоположение'!A15:C15</f>
        <v>Реконструкция ТП 15/6/0,4кВ  ТП-5 с заменой ячеек КРУ 15кВ с  маслянными выключателями SCI-20 ячейки  на КРУ-15кВ с вакуумными выключателями 9 шт., заменой ячеек КРУ 6 кВ с воздушными выключателями нагрузки на КРУ  с элегазовыми выключателями нагрузки;  с установкой 2-го трансформатора 15 кВ мощностью 0,8 МВА,с приростом мощности на 0,8 МВА; заменой трансформатора 6 кВ мощностью 0,18 МВА  на 0,25 МВА, с приростом мощности 0,07 МВА, в п.Северный, Багратионовского р-на</v>
      </c>
      <c r="B14" s="309"/>
      <c r="C14" s="309"/>
      <c r="D14" s="309"/>
      <c r="E14" s="309"/>
      <c r="F14" s="309"/>
      <c r="G14" s="309"/>
      <c r="H14" s="309"/>
      <c r="I14" s="309"/>
      <c r="J14" s="309"/>
      <c r="K14" s="309"/>
      <c r="L14" s="309"/>
      <c r="M14" s="309"/>
      <c r="N14" s="309"/>
      <c r="O14" s="309"/>
      <c r="P14" s="309"/>
      <c r="Q14" s="309"/>
      <c r="R14" s="309"/>
      <c r="S14" s="309"/>
      <c r="T14" s="110"/>
      <c r="U14" s="110"/>
      <c r="V14" s="110"/>
      <c r="W14" s="110"/>
      <c r="X14" s="110"/>
      <c r="Y14" s="110"/>
      <c r="Z14" s="110"/>
      <c r="AA14" s="110"/>
      <c r="AB14" s="110"/>
    </row>
    <row r="15" spans="1:28" s="107" customFormat="1" ht="15" customHeight="1" x14ac:dyDescent="0.2">
      <c r="A15" s="315" t="s">
        <v>4</v>
      </c>
      <c r="B15" s="315"/>
      <c r="C15" s="315"/>
      <c r="D15" s="315"/>
      <c r="E15" s="315"/>
      <c r="F15" s="315"/>
      <c r="G15" s="315"/>
      <c r="H15" s="315"/>
      <c r="I15" s="315"/>
      <c r="J15" s="315"/>
      <c r="K15" s="315"/>
      <c r="L15" s="315"/>
      <c r="M15" s="315"/>
      <c r="N15" s="315"/>
      <c r="O15" s="315"/>
      <c r="P15" s="315"/>
      <c r="Q15" s="315"/>
      <c r="R15" s="315"/>
      <c r="S15" s="315"/>
      <c r="T15" s="111"/>
      <c r="U15" s="111"/>
      <c r="V15" s="111"/>
      <c r="W15" s="111"/>
      <c r="X15" s="111"/>
      <c r="Y15" s="111"/>
      <c r="Z15" s="111"/>
      <c r="AA15" s="111"/>
      <c r="AB15" s="111"/>
    </row>
    <row r="16" spans="1:28" s="107" customFormat="1" ht="15" customHeight="1" x14ac:dyDescent="0.2">
      <c r="A16" s="316"/>
      <c r="B16" s="316"/>
      <c r="C16" s="316"/>
      <c r="D16" s="316"/>
      <c r="E16" s="316"/>
      <c r="F16" s="316"/>
      <c r="G16" s="316"/>
      <c r="H16" s="316"/>
      <c r="I16" s="316"/>
      <c r="J16" s="316"/>
      <c r="K16" s="316"/>
      <c r="L16" s="316"/>
      <c r="M16" s="316"/>
      <c r="N16" s="316"/>
      <c r="O16" s="316"/>
      <c r="P16" s="316"/>
      <c r="Q16" s="316"/>
      <c r="R16" s="316"/>
      <c r="S16" s="316"/>
      <c r="T16" s="109"/>
      <c r="U16" s="109"/>
      <c r="V16" s="109"/>
      <c r="W16" s="109"/>
      <c r="X16" s="109"/>
      <c r="Y16" s="109"/>
    </row>
    <row r="17" spans="1:28" s="107" customFormat="1" ht="45.75" customHeight="1" x14ac:dyDescent="0.2">
      <c r="A17" s="317" t="s">
        <v>383</v>
      </c>
      <c r="B17" s="317"/>
      <c r="C17" s="317"/>
      <c r="D17" s="317"/>
      <c r="E17" s="317"/>
      <c r="F17" s="317"/>
      <c r="G17" s="317"/>
      <c r="H17" s="317"/>
      <c r="I17" s="317"/>
      <c r="J17" s="317"/>
      <c r="K17" s="317"/>
      <c r="L17" s="317"/>
      <c r="M17" s="317"/>
      <c r="N17" s="317"/>
      <c r="O17" s="317"/>
      <c r="P17" s="317"/>
      <c r="Q17" s="317"/>
      <c r="R17" s="317"/>
      <c r="S17" s="317"/>
      <c r="T17" s="112"/>
      <c r="U17" s="112"/>
      <c r="V17" s="112"/>
      <c r="W17" s="112"/>
      <c r="X17" s="112"/>
      <c r="Y17" s="112"/>
      <c r="Z17" s="112"/>
      <c r="AA17" s="112"/>
      <c r="AB17" s="112"/>
    </row>
    <row r="18" spans="1:28" s="107" customFormat="1" ht="15" customHeight="1" x14ac:dyDescent="0.2">
      <c r="A18" s="318"/>
      <c r="B18" s="318"/>
      <c r="C18" s="318"/>
      <c r="D18" s="318"/>
      <c r="E18" s="318"/>
      <c r="F18" s="318"/>
      <c r="G18" s="318"/>
      <c r="H18" s="318"/>
      <c r="I18" s="318"/>
      <c r="J18" s="318"/>
      <c r="K18" s="318"/>
      <c r="L18" s="318"/>
      <c r="M18" s="318"/>
      <c r="N18" s="318"/>
      <c r="O18" s="318"/>
      <c r="P18" s="318"/>
      <c r="Q18" s="318"/>
      <c r="R18" s="318"/>
      <c r="S18" s="318"/>
      <c r="T18" s="109"/>
      <c r="U18" s="109"/>
      <c r="V18" s="109"/>
      <c r="W18" s="109"/>
      <c r="X18" s="109"/>
      <c r="Y18" s="109"/>
    </row>
    <row r="19" spans="1:28" s="107" customFormat="1" ht="54" customHeight="1" x14ac:dyDescent="0.2">
      <c r="A19" s="310" t="s">
        <v>3</v>
      </c>
      <c r="B19" s="310" t="s">
        <v>94</v>
      </c>
      <c r="C19" s="312" t="s">
        <v>304</v>
      </c>
      <c r="D19" s="310" t="s">
        <v>303</v>
      </c>
      <c r="E19" s="310" t="s">
        <v>93</v>
      </c>
      <c r="F19" s="310" t="s">
        <v>92</v>
      </c>
      <c r="G19" s="310" t="s">
        <v>299</v>
      </c>
      <c r="H19" s="310" t="s">
        <v>91</v>
      </c>
      <c r="I19" s="310" t="s">
        <v>90</v>
      </c>
      <c r="J19" s="310" t="s">
        <v>89</v>
      </c>
      <c r="K19" s="310" t="s">
        <v>88</v>
      </c>
      <c r="L19" s="310" t="s">
        <v>87</v>
      </c>
      <c r="M19" s="310" t="s">
        <v>86</v>
      </c>
      <c r="N19" s="310" t="s">
        <v>85</v>
      </c>
      <c r="O19" s="310" t="s">
        <v>84</v>
      </c>
      <c r="P19" s="310" t="s">
        <v>83</v>
      </c>
      <c r="Q19" s="310" t="s">
        <v>302</v>
      </c>
      <c r="R19" s="310"/>
      <c r="S19" s="314" t="s">
        <v>377</v>
      </c>
      <c r="T19" s="109"/>
      <c r="U19" s="109"/>
      <c r="V19" s="109"/>
      <c r="W19" s="109"/>
      <c r="X19" s="109"/>
      <c r="Y19" s="109"/>
    </row>
    <row r="20" spans="1:28" s="107" customFormat="1" ht="180.75" customHeight="1" x14ac:dyDescent="0.2">
      <c r="A20" s="310"/>
      <c r="B20" s="310"/>
      <c r="C20" s="313"/>
      <c r="D20" s="310"/>
      <c r="E20" s="310"/>
      <c r="F20" s="310"/>
      <c r="G20" s="310"/>
      <c r="H20" s="310"/>
      <c r="I20" s="310"/>
      <c r="J20" s="310"/>
      <c r="K20" s="310"/>
      <c r="L20" s="310"/>
      <c r="M20" s="310"/>
      <c r="N20" s="310"/>
      <c r="O20" s="310"/>
      <c r="P20" s="310"/>
      <c r="Q20" s="113" t="s">
        <v>300</v>
      </c>
      <c r="R20" s="114" t="s">
        <v>301</v>
      </c>
      <c r="S20" s="314"/>
      <c r="T20" s="109"/>
      <c r="U20" s="109"/>
      <c r="V20" s="109"/>
      <c r="W20" s="109"/>
      <c r="X20" s="109"/>
      <c r="Y20" s="109"/>
    </row>
    <row r="21" spans="1:28" s="107" customFormat="1" ht="18.75" x14ac:dyDescent="0.2">
      <c r="A21" s="113">
        <v>1</v>
      </c>
      <c r="B21" s="115">
        <v>2</v>
      </c>
      <c r="C21" s="113">
        <v>3</v>
      </c>
      <c r="D21" s="115">
        <v>4</v>
      </c>
      <c r="E21" s="113">
        <v>5</v>
      </c>
      <c r="F21" s="115">
        <v>6</v>
      </c>
      <c r="G21" s="113">
        <v>7</v>
      </c>
      <c r="H21" s="115">
        <v>8</v>
      </c>
      <c r="I21" s="113">
        <v>9</v>
      </c>
      <c r="J21" s="115">
        <v>10</v>
      </c>
      <c r="K21" s="113">
        <v>11</v>
      </c>
      <c r="L21" s="115">
        <v>12</v>
      </c>
      <c r="M21" s="113">
        <v>13</v>
      </c>
      <c r="N21" s="115">
        <v>14</v>
      </c>
      <c r="O21" s="113">
        <v>15</v>
      </c>
      <c r="P21" s="115">
        <v>16</v>
      </c>
      <c r="Q21" s="113">
        <v>17</v>
      </c>
      <c r="R21" s="115">
        <v>18</v>
      </c>
      <c r="S21" s="113">
        <v>19</v>
      </c>
      <c r="T21" s="109"/>
      <c r="U21" s="109"/>
      <c r="V21" s="109"/>
      <c r="W21" s="109"/>
      <c r="X21" s="109"/>
      <c r="Y21" s="109"/>
    </row>
    <row r="22" spans="1:28" s="107" customFormat="1" ht="32.25" customHeight="1" x14ac:dyDescent="0.2">
      <c r="A22" s="113"/>
      <c r="B22" s="115" t="s">
        <v>564</v>
      </c>
      <c r="C22" s="115"/>
      <c r="D22" s="115"/>
      <c r="E22" s="115" t="s">
        <v>565</v>
      </c>
      <c r="F22" s="115" t="s">
        <v>566</v>
      </c>
      <c r="G22" s="115" t="s">
        <v>567</v>
      </c>
      <c r="H22" s="115"/>
      <c r="I22" s="115"/>
      <c r="J22" s="115"/>
      <c r="K22" s="115"/>
      <c r="L22" s="115"/>
      <c r="M22" s="115"/>
      <c r="N22" s="115"/>
      <c r="O22" s="115"/>
      <c r="P22" s="115"/>
      <c r="Q22" s="116"/>
      <c r="R22" s="185"/>
      <c r="S22" s="185"/>
      <c r="T22" s="109"/>
      <c r="U22" s="109"/>
      <c r="V22" s="109"/>
      <c r="W22" s="109"/>
      <c r="X22" s="109"/>
      <c r="Y22" s="109"/>
    </row>
    <row r="23" spans="1:28" s="107" customFormat="1" ht="18.75" x14ac:dyDescent="0.2">
      <c r="A23" s="113"/>
      <c r="B23" s="115" t="s">
        <v>564</v>
      </c>
      <c r="C23" s="115"/>
      <c r="D23" s="115"/>
      <c r="E23" s="115" t="s">
        <v>565</v>
      </c>
      <c r="F23" s="115" t="s">
        <v>566</v>
      </c>
      <c r="G23" s="115" t="s">
        <v>568</v>
      </c>
      <c r="H23" s="17"/>
      <c r="I23" s="17"/>
      <c r="J23" s="17"/>
      <c r="K23" s="17"/>
      <c r="L23" s="17"/>
      <c r="M23" s="17"/>
      <c r="N23" s="17"/>
      <c r="O23" s="17"/>
      <c r="P23" s="17"/>
      <c r="Q23" s="17"/>
      <c r="R23" s="185"/>
      <c r="S23" s="185"/>
      <c r="T23" s="109"/>
      <c r="U23" s="109"/>
      <c r="V23" s="109"/>
      <c r="W23" s="109"/>
    </row>
    <row r="24" spans="1:28" s="107" customFormat="1" ht="18.75" x14ac:dyDescent="0.2">
      <c r="A24" s="113"/>
      <c r="B24" s="115" t="s">
        <v>564</v>
      </c>
      <c r="C24" s="115"/>
      <c r="D24" s="115"/>
      <c r="E24" s="115" t="s">
        <v>565</v>
      </c>
      <c r="F24" s="115" t="s">
        <v>566</v>
      </c>
      <c r="G24" s="115" t="s">
        <v>569</v>
      </c>
      <c r="H24" s="17"/>
      <c r="I24" s="17"/>
      <c r="J24" s="17"/>
      <c r="K24" s="17"/>
      <c r="L24" s="17"/>
      <c r="M24" s="17"/>
      <c r="N24" s="17"/>
      <c r="O24" s="17"/>
      <c r="P24" s="17"/>
      <c r="Q24" s="17"/>
      <c r="R24" s="185"/>
      <c r="S24" s="185"/>
      <c r="T24" s="109"/>
      <c r="U24" s="109"/>
      <c r="V24" s="109"/>
      <c r="W24" s="109"/>
    </row>
    <row r="25" spans="1:28" s="107" customFormat="1" ht="31.5" x14ac:dyDescent="0.2">
      <c r="A25" s="121"/>
      <c r="B25" s="115" t="s">
        <v>570</v>
      </c>
      <c r="C25" s="115"/>
      <c r="D25" s="115"/>
      <c r="E25" s="115" t="s">
        <v>571</v>
      </c>
      <c r="F25" s="115" t="s">
        <v>572</v>
      </c>
      <c r="G25" s="115" t="s">
        <v>573</v>
      </c>
      <c r="H25" s="17"/>
      <c r="I25" s="17"/>
      <c r="J25" s="17"/>
      <c r="K25" s="17"/>
      <c r="L25" s="17"/>
      <c r="M25" s="17"/>
      <c r="N25" s="17"/>
      <c r="O25" s="17"/>
      <c r="P25" s="17"/>
      <c r="Q25" s="17"/>
      <c r="R25" s="185"/>
      <c r="S25" s="185"/>
      <c r="T25" s="109"/>
      <c r="U25" s="109"/>
      <c r="V25" s="109"/>
      <c r="W25" s="109"/>
    </row>
    <row r="26" spans="1:28" s="107" customFormat="1" ht="18.75" x14ac:dyDescent="0.2">
      <c r="A26" s="121"/>
      <c r="B26" s="115" t="s">
        <v>570</v>
      </c>
      <c r="C26" s="115"/>
      <c r="D26" s="115"/>
      <c r="E26" s="115" t="s">
        <v>571</v>
      </c>
      <c r="F26" s="115" t="s">
        <v>572</v>
      </c>
      <c r="G26" s="115" t="s">
        <v>568</v>
      </c>
      <c r="H26" s="17"/>
      <c r="I26" s="17"/>
      <c r="J26" s="17"/>
      <c r="K26" s="17"/>
      <c r="L26" s="17"/>
      <c r="M26" s="17"/>
      <c r="N26" s="17"/>
      <c r="O26" s="17"/>
      <c r="P26" s="17"/>
      <c r="Q26" s="17"/>
      <c r="R26" s="185"/>
      <c r="S26" s="185"/>
      <c r="T26" s="109"/>
      <c r="U26" s="109"/>
      <c r="V26" s="109"/>
      <c r="W26" s="109"/>
    </row>
    <row r="27" spans="1:28" s="107" customFormat="1" ht="18.75" x14ac:dyDescent="0.2">
      <c r="A27" s="121"/>
      <c r="B27" s="115" t="s">
        <v>570</v>
      </c>
      <c r="C27" s="115"/>
      <c r="D27" s="115"/>
      <c r="E27" s="115" t="s">
        <v>571</v>
      </c>
      <c r="F27" s="115" t="s">
        <v>572</v>
      </c>
      <c r="G27" s="115" t="s">
        <v>569</v>
      </c>
      <c r="H27" s="17"/>
      <c r="I27" s="17"/>
      <c r="J27" s="17"/>
      <c r="K27" s="17"/>
      <c r="L27" s="17"/>
      <c r="M27" s="17"/>
      <c r="N27" s="17"/>
      <c r="O27" s="17"/>
      <c r="P27" s="17"/>
      <c r="Q27" s="17"/>
      <c r="R27" s="185"/>
      <c r="S27" s="185"/>
      <c r="T27" s="109"/>
      <c r="U27" s="109"/>
      <c r="V27" s="109"/>
      <c r="W27" s="109"/>
    </row>
    <row r="28" spans="1:28" s="107" customFormat="1" ht="18.75" x14ac:dyDescent="0.2">
      <c r="A28" s="17" t="s">
        <v>0</v>
      </c>
      <c r="B28" s="17" t="s">
        <v>0</v>
      </c>
      <c r="C28" s="17"/>
      <c r="D28" s="17"/>
      <c r="E28" s="17" t="s">
        <v>0</v>
      </c>
      <c r="F28" s="17" t="s">
        <v>0</v>
      </c>
      <c r="G28" s="17" t="s">
        <v>0</v>
      </c>
      <c r="H28" s="17" t="s">
        <v>0</v>
      </c>
      <c r="I28" s="17"/>
      <c r="J28" s="17"/>
      <c r="K28" s="17"/>
      <c r="L28" s="17"/>
      <c r="M28" s="17" t="s">
        <v>0</v>
      </c>
      <c r="N28" s="17" t="s">
        <v>0</v>
      </c>
      <c r="O28" s="17" t="s">
        <v>0</v>
      </c>
      <c r="P28" s="17" t="s">
        <v>0</v>
      </c>
      <c r="Q28" s="17" t="s">
        <v>0</v>
      </c>
      <c r="R28" s="185"/>
      <c r="S28" s="185"/>
      <c r="T28" s="109"/>
      <c r="U28" s="109"/>
      <c r="V28" s="109"/>
      <c r="W28" s="109"/>
    </row>
    <row r="29" spans="1:28" s="193" customFormat="1" ht="20.25" customHeight="1" x14ac:dyDescent="0.25">
      <c r="A29" s="186"/>
      <c r="B29" s="115" t="s">
        <v>297</v>
      </c>
      <c r="C29" s="115"/>
      <c r="D29" s="115"/>
      <c r="E29" s="186" t="s">
        <v>298</v>
      </c>
      <c r="F29" s="186" t="s">
        <v>298</v>
      </c>
      <c r="G29" s="186" t="s">
        <v>298</v>
      </c>
      <c r="H29" s="186"/>
      <c r="I29" s="186"/>
      <c r="J29" s="186"/>
      <c r="K29" s="186"/>
      <c r="L29" s="186"/>
      <c r="M29" s="186"/>
      <c r="N29" s="186"/>
      <c r="O29" s="186"/>
      <c r="P29" s="186"/>
      <c r="Q29" s="187"/>
      <c r="R29" s="188"/>
      <c r="S29" s="188"/>
    </row>
    <row r="30" spans="1:28" ht="39" customHeight="1" x14ac:dyDescent="0.25"/>
    <row r="31" spans="1:28" ht="39" customHeight="1" x14ac:dyDescent="0.25"/>
    <row r="32" spans="1:28" ht="39" customHeight="1" x14ac:dyDescent="0.25"/>
    <row r="33" ht="39" customHeight="1" x14ac:dyDescent="0.25"/>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5"/>
  <sheetViews>
    <sheetView view="pageBreakPreview" topLeftCell="A19" zoomScale="80" zoomScaleNormal="60" zoomScaleSheetLayoutView="80" workbookViewId="0">
      <selection activeCell="B32" sqref="B32:R32"/>
    </sheetView>
  </sheetViews>
  <sheetFormatPr defaultColWidth="10.7109375" defaultRowHeight="15.75" x14ac:dyDescent="0.25"/>
  <cols>
    <col min="1" max="1" width="9.5703125" style="26" customWidth="1"/>
    <col min="2" max="3" width="15.7109375" style="26" customWidth="1"/>
    <col min="4" max="4" width="22" style="26" customWidth="1"/>
    <col min="5" max="5" width="25.28515625" style="26" customWidth="1"/>
    <col min="6" max="6" width="24.28515625" style="26" customWidth="1"/>
    <col min="7" max="7" width="17.140625" style="26" customWidth="1"/>
    <col min="8" max="8" width="16.7109375"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302" t="str">
        <f>'1. паспорт местоположение'!A5:C5</f>
        <v>Год раскрытия информации: 2024  год</v>
      </c>
      <c r="B6" s="302"/>
      <c r="C6" s="302"/>
      <c r="D6" s="302"/>
      <c r="E6" s="302"/>
      <c r="F6" s="302"/>
      <c r="G6" s="302"/>
      <c r="H6" s="302"/>
      <c r="I6" s="302"/>
      <c r="J6" s="302"/>
      <c r="K6" s="302"/>
      <c r="L6" s="302"/>
      <c r="M6" s="302"/>
      <c r="N6" s="302"/>
      <c r="O6" s="302"/>
      <c r="P6" s="302"/>
      <c r="Q6" s="302"/>
      <c r="R6" s="302"/>
      <c r="S6" s="302"/>
      <c r="T6" s="302"/>
    </row>
    <row r="7" spans="1:20" s="14" customFormat="1" x14ac:dyDescent="0.2">
      <c r="A7" s="106"/>
    </row>
    <row r="8" spans="1:20" s="14" customFormat="1" ht="18.75" x14ac:dyDescent="0.2">
      <c r="A8" s="311" t="s">
        <v>7</v>
      </c>
      <c r="B8" s="311"/>
      <c r="C8" s="311"/>
      <c r="D8" s="311"/>
      <c r="E8" s="311"/>
      <c r="F8" s="311"/>
      <c r="G8" s="311"/>
      <c r="H8" s="311"/>
      <c r="I8" s="311"/>
      <c r="J8" s="311"/>
      <c r="K8" s="311"/>
      <c r="L8" s="311"/>
      <c r="M8" s="311"/>
      <c r="N8" s="311"/>
      <c r="O8" s="311"/>
      <c r="P8" s="311"/>
      <c r="Q8" s="311"/>
      <c r="R8" s="311"/>
      <c r="S8" s="311"/>
      <c r="T8" s="311"/>
    </row>
    <row r="9" spans="1:20" s="14" customFormat="1" ht="18.75" x14ac:dyDescent="0.2">
      <c r="A9" s="311"/>
      <c r="B9" s="311"/>
      <c r="C9" s="311"/>
      <c r="D9" s="311"/>
      <c r="E9" s="311"/>
      <c r="F9" s="311"/>
      <c r="G9" s="311"/>
      <c r="H9" s="311"/>
      <c r="I9" s="311"/>
      <c r="J9" s="311"/>
      <c r="K9" s="311"/>
      <c r="L9" s="311"/>
      <c r="M9" s="311"/>
      <c r="N9" s="311"/>
      <c r="O9" s="311"/>
      <c r="P9" s="311"/>
      <c r="Q9" s="311"/>
      <c r="R9" s="311"/>
      <c r="S9" s="311"/>
      <c r="T9" s="311"/>
    </row>
    <row r="10" spans="1:20" s="14" customFormat="1" ht="18.75" customHeight="1" x14ac:dyDescent="0.2">
      <c r="A10" s="309" t="str">
        <f>'1. паспорт местоположение'!A9:C9</f>
        <v xml:space="preserve">Акционерное общество "Западная энергетическая компания" </v>
      </c>
      <c r="B10" s="309"/>
      <c r="C10" s="309"/>
      <c r="D10" s="309"/>
      <c r="E10" s="309"/>
      <c r="F10" s="309"/>
      <c r="G10" s="309"/>
      <c r="H10" s="309"/>
      <c r="I10" s="309"/>
      <c r="J10" s="309"/>
      <c r="K10" s="309"/>
      <c r="L10" s="309"/>
      <c r="M10" s="309"/>
      <c r="N10" s="309"/>
      <c r="O10" s="309"/>
      <c r="P10" s="309"/>
      <c r="Q10" s="309"/>
      <c r="R10" s="309"/>
      <c r="S10" s="309"/>
      <c r="T10" s="309"/>
    </row>
    <row r="11" spans="1:20" s="14" customFormat="1" ht="18.75" customHeight="1" x14ac:dyDescent="0.2">
      <c r="A11" s="315" t="s">
        <v>6</v>
      </c>
      <c r="B11" s="315"/>
      <c r="C11" s="315"/>
      <c r="D11" s="315"/>
      <c r="E11" s="315"/>
      <c r="F11" s="315"/>
      <c r="G11" s="315"/>
      <c r="H11" s="315"/>
      <c r="I11" s="315"/>
      <c r="J11" s="315"/>
      <c r="K11" s="315"/>
      <c r="L11" s="315"/>
      <c r="M11" s="315"/>
      <c r="N11" s="315"/>
      <c r="O11" s="315"/>
      <c r="P11" s="315"/>
      <c r="Q11" s="315"/>
      <c r="R11" s="315"/>
      <c r="S11" s="315"/>
      <c r="T11" s="315"/>
    </row>
    <row r="12" spans="1:20" s="14" customFormat="1" ht="18.75" x14ac:dyDescent="0.2">
      <c r="A12" s="311"/>
      <c r="B12" s="311"/>
      <c r="C12" s="311"/>
      <c r="D12" s="311"/>
      <c r="E12" s="311"/>
      <c r="F12" s="311"/>
      <c r="G12" s="311"/>
      <c r="H12" s="311"/>
      <c r="I12" s="311"/>
      <c r="J12" s="311"/>
      <c r="K12" s="311"/>
      <c r="L12" s="311"/>
      <c r="M12" s="311"/>
      <c r="N12" s="311"/>
      <c r="O12" s="311"/>
      <c r="P12" s="311"/>
      <c r="Q12" s="311"/>
      <c r="R12" s="311"/>
      <c r="S12" s="311"/>
      <c r="T12" s="311"/>
    </row>
    <row r="13" spans="1:20" s="14" customFormat="1" ht="18.75" customHeight="1" x14ac:dyDescent="0.2">
      <c r="A13" s="309" t="str">
        <f>'1. паспорт местоположение'!A12:C12</f>
        <v>J 19-09</v>
      </c>
      <c r="B13" s="309"/>
      <c r="C13" s="309"/>
      <c r="D13" s="309"/>
      <c r="E13" s="309"/>
      <c r="F13" s="309"/>
      <c r="G13" s="309"/>
      <c r="H13" s="309"/>
      <c r="I13" s="309"/>
      <c r="J13" s="309"/>
      <c r="K13" s="309"/>
      <c r="L13" s="309"/>
      <c r="M13" s="309"/>
      <c r="N13" s="309"/>
      <c r="O13" s="309"/>
      <c r="P13" s="309"/>
      <c r="Q13" s="309"/>
      <c r="R13" s="309"/>
      <c r="S13" s="309"/>
      <c r="T13" s="309"/>
    </row>
    <row r="14" spans="1:20" s="14" customFormat="1" ht="18.75" customHeight="1" x14ac:dyDescent="0.2">
      <c r="A14" s="315" t="s">
        <v>5</v>
      </c>
      <c r="B14" s="315"/>
      <c r="C14" s="315"/>
      <c r="D14" s="315"/>
      <c r="E14" s="315"/>
      <c r="F14" s="315"/>
      <c r="G14" s="315"/>
      <c r="H14" s="315"/>
      <c r="I14" s="315"/>
      <c r="J14" s="315"/>
      <c r="K14" s="315"/>
      <c r="L14" s="315"/>
      <c r="M14" s="315"/>
      <c r="N14" s="315"/>
      <c r="O14" s="315"/>
      <c r="P14" s="315"/>
      <c r="Q14" s="315"/>
      <c r="R14" s="315"/>
      <c r="S14" s="315"/>
      <c r="T14" s="315"/>
    </row>
    <row r="15" spans="1:20" s="14" customFormat="1" ht="15.75" customHeight="1" x14ac:dyDescent="0.2">
      <c r="A15" s="316"/>
      <c r="B15" s="316"/>
      <c r="C15" s="316"/>
      <c r="D15" s="316"/>
      <c r="E15" s="316"/>
      <c r="F15" s="316"/>
      <c r="G15" s="316"/>
      <c r="H15" s="316"/>
      <c r="I15" s="316"/>
      <c r="J15" s="316"/>
      <c r="K15" s="316"/>
      <c r="L15" s="316"/>
      <c r="M15" s="316"/>
      <c r="N15" s="316"/>
      <c r="O15" s="316"/>
      <c r="P15" s="316"/>
      <c r="Q15" s="316"/>
      <c r="R15" s="316"/>
      <c r="S15" s="316"/>
      <c r="T15" s="316"/>
    </row>
    <row r="16" spans="1:20" s="107" customFormat="1" x14ac:dyDescent="0.2">
      <c r="A16" s="309" t="str">
        <f>'1. паспорт местоположение'!A15:C15</f>
        <v>Реконструкция ТП 15/6/0,4кВ  ТП-5 с заменой ячеек КРУ 15кВ с  маслянными выключателями SCI-20 ячейки  на КРУ-15кВ с вакуумными выключателями 9 шт., заменой ячеек КРУ 6 кВ с воздушными выключателями нагрузки на КРУ  с элегазовыми выключателями нагрузки;  с установкой 2-го трансформатора 15 кВ мощностью 0,8 МВА,с приростом мощности на 0,8 МВА; заменой трансформатора 6 кВ мощностью 0,18 МВА  на 0,25 МВА, с приростом мощности 0,07 МВА, в п.Северный, Багратионовского р-на</v>
      </c>
      <c r="B16" s="309"/>
      <c r="C16" s="309"/>
      <c r="D16" s="309"/>
      <c r="E16" s="309"/>
      <c r="F16" s="309"/>
      <c r="G16" s="309"/>
      <c r="H16" s="309"/>
      <c r="I16" s="309"/>
      <c r="J16" s="309"/>
      <c r="K16" s="309"/>
      <c r="L16" s="309"/>
      <c r="M16" s="309"/>
      <c r="N16" s="309"/>
      <c r="O16" s="309"/>
      <c r="P16" s="309"/>
      <c r="Q16" s="309"/>
      <c r="R16" s="309"/>
      <c r="S16" s="309"/>
      <c r="T16" s="309"/>
    </row>
    <row r="17" spans="1:20" s="107" customFormat="1" ht="15" customHeight="1" x14ac:dyDescent="0.2">
      <c r="A17" s="315" t="s">
        <v>4</v>
      </c>
      <c r="B17" s="315"/>
      <c r="C17" s="315"/>
      <c r="D17" s="315"/>
      <c r="E17" s="315"/>
      <c r="F17" s="315"/>
      <c r="G17" s="315"/>
      <c r="H17" s="315"/>
      <c r="I17" s="315"/>
      <c r="J17" s="315"/>
      <c r="K17" s="315"/>
      <c r="L17" s="315"/>
      <c r="M17" s="315"/>
      <c r="N17" s="315"/>
      <c r="O17" s="315"/>
      <c r="P17" s="315"/>
      <c r="Q17" s="315"/>
      <c r="R17" s="315"/>
      <c r="S17" s="315"/>
      <c r="T17" s="315"/>
    </row>
    <row r="18" spans="1:20" s="107" customFormat="1" ht="15" customHeight="1" x14ac:dyDescent="0.2">
      <c r="A18" s="316"/>
      <c r="B18" s="316"/>
      <c r="C18" s="316"/>
      <c r="D18" s="316"/>
      <c r="E18" s="316"/>
      <c r="F18" s="316"/>
      <c r="G18" s="316"/>
      <c r="H18" s="316"/>
      <c r="I18" s="316"/>
      <c r="J18" s="316"/>
      <c r="K18" s="316"/>
      <c r="L18" s="316"/>
      <c r="M18" s="316"/>
      <c r="N18" s="316"/>
      <c r="O18" s="316"/>
      <c r="P18" s="316"/>
      <c r="Q18" s="316"/>
      <c r="R18" s="316"/>
      <c r="S18" s="316"/>
      <c r="T18" s="316"/>
    </row>
    <row r="19" spans="1:20" s="107" customFormat="1" ht="15" customHeight="1" x14ac:dyDescent="0.2">
      <c r="A19" s="333" t="s">
        <v>388</v>
      </c>
      <c r="B19" s="333"/>
      <c r="C19" s="333"/>
      <c r="D19" s="333"/>
      <c r="E19" s="333"/>
      <c r="F19" s="333"/>
      <c r="G19" s="333"/>
      <c r="H19" s="333"/>
      <c r="I19" s="333"/>
      <c r="J19" s="333"/>
      <c r="K19" s="333"/>
      <c r="L19" s="333"/>
      <c r="M19" s="333"/>
      <c r="N19" s="333"/>
      <c r="O19" s="333"/>
      <c r="P19" s="333"/>
      <c r="Q19" s="333"/>
      <c r="R19" s="333"/>
      <c r="S19" s="333"/>
      <c r="T19" s="333"/>
    </row>
    <row r="20" spans="1:20" s="27" customFormat="1" ht="21" customHeight="1" x14ac:dyDescent="0.25">
      <c r="A20" s="334"/>
      <c r="B20" s="334"/>
      <c r="C20" s="334"/>
      <c r="D20" s="334"/>
      <c r="E20" s="334"/>
      <c r="F20" s="334"/>
      <c r="G20" s="334"/>
      <c r="H20" s="334"/>
      <c r="I20" s="334"/>
      <c r="J20" s="334"/>
      <c r="K20" s="334"/>
      <c r="L20" s="334"/>
      <c r="M20" s="334"/>
      <c r="N20" s="334"/>
      <c r="O20" s="334"/>
      <c r="P20" s="334"/>
      <c r="Q20" s="334"/>
      <c r="R20" s="334"/>
      <c r="S20" s="334"/>
      <c r="T20" s="334"/>
    </row>
    <row r="21" spans="1:20" ht="46.5" customHeight="1" x14ac:dyDescent="0.25">
      <c r="A21" s="327" t="s">
        <v>3</v>
      </c>
      <c r="B21" s="320" t="s">
        <v>200</v>
      </c>
      <c r="C21" s="321"/>
      <c r="D21" s="324" t="s">
        <v>116</v>
      </c>
      <c r="E21" s="320" t="s">
        <v>416</v>
      </c>
      <c r="F21" s="321"/>
      <c r="G21" s="320" t="s">
        <v>239</v>
      </c>
      <c r="H21" s="321"/>
      <c r="I21" s="320" t="s">
        <v>115</v>
      </c>
      <c r="J21" s="321"/>
      <c r="K21" s="324" t="s">
        <v>114</v>
      </c>
      <c r="L21" s="320" t="s">
        <v>113</v>
      </c>
      <c r="M21" s="321"/>
      <c r="N21" s="320" t="s">
        <v>443</v>
      </c>
      <c r="O21" s="321"/>
      <c r="P21" s="324" t="s">
        <v>112</v>
      </c>
      <c r="Q21" s="330" t="s">
        <v>111</v>
      </c>
      <c r="R21" s="331"/>
      <c r="S21" s="330" t="s">
        <v>110</v>
      </c>
      <c r="T21" s="332"/>
    </row>
    <row r="22" spans="1:20" ht="204.75" customHeight="1" x14ac:dyDescent="0.25">
      <c r="A22" s="328"/>
      <c r="B22" s="322"/>
      <c r="C22" s="323"/>
      <c r="D22" s="326"/>
      <c r="E22" s="322"/>
      <c r="F22" s="323"/>
      <c r="G22" s="322"/>
      <c r="H22" s="323"/>
      <c r="I22" s="322"/>
      <c r="J22" s="323"/>
      <c r="K22" s="325"/>
      <c r="L22" s="322"/>
      <c r="M22" s="323"/>
      <c r="N22" s="322"/>
      <c r="O22" s="323"/>
      <c r="P22" s="325"/>
      <c r="Q22" s="54" t="s">
        <v>109</v>
      </c>
      <c r="R22" s="54" t="s">
        <v>387</v>
      </c>
      <c r="S22" s="54" t="s">
        <v>108</v>
      </c>
      <c r="T22" s="54" t="s">
        <v>107</v>
      </c>
    </row>
    <row r="23" spans="1:20" ht="51.75" customHeight="1" x14ac:dyDescent="0.25">
      <c r="A23" s="329"/>
      <c r="B23" s="54" t="s">
        <v>105</v>
      </c>
      <c r="C23" s="54" t="s">
        <v>106</v>
      </c>
      <c r="D23" s="325"/>
      <c r="E23" s="54" t="s">
        <v>105</v>
      </c>
      <c r="F23" s="54" t="s">
        <v>106</v>
      </c>
      <c r="G23" s="54" t="s">
        <v>105</v>
      </c>
      <c r="H23" s="54" t="s">
        <v>106</v>
      </c>
      <c r="I23" s="54" t="s">
        <v>105</v>
      </c>
      <c r="J23" s="54" t="s">
        <v>106</v>
      </c>
      <c r="K23" s="54" t="s">
        <v>105</v>
      </c>
      <c r="L23" s="54" t="s">
        <v>105</v>
      </c>
      <c r="M23" s="54" t="s">
        <v>106</v>
      </c>
      <c r="N23" s="54" t="s">
        <v>105</v>
      </c>
      <c r="O23" s="54" t="s">
        <v>106</v>
      </c>
      <c r="P23" s="104" t="s">
        <v>105</v>
      </c>
      <c r="Q23" s="54" t="s">
        <v>105</v>
      </c>
      <c r="R23" s="54" t="s">
        <v>105</v>
      </c>
      <c r="S23" s="54" t="s">
        <v>105</v>
      </c>
      <c r="T23" s="54" t="s">
        <v>105</v>
      </c>
    </row>
    <row r="24" spans="1:20"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20" s="27" customFormat="1" ht="66" customHeight="1" x14ac:dyDescent="0.25">
      <c r="A25" s="93">
        <v>1</v>
      </c>
      <c r="B25" s="93" t="s">
        <v>590</v>
      </c>
      <c r="C25" s="93" t="s">
        <v>590</v>
      </c>
      <c r="D25" s="93" t="s">
        <v>604</v>
      </c>
      <c r="E25" s="93" t="s">
        <v>591</v>
      </c>
      <c r="F25" s="93" t="s">
        <v>592</v>
      </c>
      <c r="G25" s="93" t="s">
        <v>593</v>
      </c>
      <c r="H25" s="93" t="s">
        <v>593</v>
      </c>
      <c r="I25" s="94" t="s">
        <v>574</v>
      </c>
      <c r="J25" s="94" t="s">
        <v>609</v>
      </c>
      <c r="K25" s="94" t="s">
        <v>581</v>
      </c>
      <c r="L25" s="94" t="s">
        <v>582</v>
      </c>
      <c r="M25" s="94" t="s">
        <v>582</v>
      </c>
      <c r="N25" s="93"/>
      <c r="O25" s="93"/>
      <c r="P25" s="94" t="s">
        <v>298</v>
      </c>
      <c r="Q25" s="94"/>
      <c r="R25" s="94"/>
      <c r="S25" s="94" t="s">
        <v>298</v>
      </c>
      <c r="T25" s="93" t="s">
        <v>298</v>
      </c>
    </row>
    <row r="26" spans="1:20" ht="47.25" customHeight="1" x14ac:dyDescent="0.25">
      <c r="A26" s="93">
        <v>2</v>
      </c>
      <c r="B26" s="93"/>
      <c r="C26" s="93"/>
      <c r="D26" s="194" t="s">
        <v>603</v>
      </c>
      <c r="E26" s="194" t="s">
        <v>606</v>
      </c>
      <c r="F26" s="194" t="s">
        <v>594</v>
      </c>
      <c r="G26" s="194" t="s">
        <v>595</v>
      </c>
      <c r="H26" s="194" t="s">
        <v>595</v>
      </c>
      <c r="I26" s="94" t="s">
        <v>574</v>
      </c>
      <c r="J26" s="194">
        <v>2024</v>
      </c>
      <c r="K26" s="94" t="s">
        <v>581</v>
      </c>
      <c r="L26" s="94" t="s">
        <v>583</v>
      </c>
      <c r="M26" s="94" t="s">
        <v>583</v>
      </c>
      <c r="N26" s="195"/>
      <c r="O26" s="195"/>
      <c r="P26" s="94"/>
      <c r="Q26" s="93"/>
      <c r="R26" s="93"/>
      <c r="S26" s="195" t="s">
        <v>298</v>
      </c>
      <c r="T26" s="195" t="s">
        <v>298</v>
      </c>
    </row>
    <row r="27" spans="1:20" ht="24" customHeight="1" x14ac:dyDescent="0.25">
      <c r="A27" s="93">
        <v>3</v>
      </c>
      <c r="B27" s="93"/>
      <c r="C27" s="93"/>
      <c r="D27" s="194" t="s">
        <v>584</v>
      </c>
      <c r="E27" s="194" t="s">
        <v>596</v>
      </c>
      <c r="F27" s="194" t="s">
        <v>596</v>
      </c>
      <c r="G27" s="194" t="s">
        <v>585</v>
      </c>
      <c r="H27" s="194" t="s">
        <v>585</v>
      </c>
      <c r="I27" s="94" t="s">
        <v>597</v>
      </c>
      <c r="J27" s="194">
        <v>2015</v>
      </c>
      <c r="K27" s="94" t="s">
        <v>597</v>
      </c>
      <c r="L27" s="94" t="s">
        <v>369</v>
      </c>
      <c r="M27" s="94" t="s">
        <v>369</v>
      </c>
      <c r="N27" s="195">
        <v>0.8</v>
      </c>
      <c r="O27" s="195">
        <v>0.8</v>
      </c>
      <c r="P27" s="94"/>
      <c r="Q27" s="94"/>
      <c r="R27" s="94"/>
      <c r="S27" s="195" t="s">
        <v>298</v>
      </c>
      <c r="T27" s="195" t="s">
        <v>298</v>
      </c>
    </row>
    <row r="28" spans="1:20" ht="24" customHeight="1" x14ac:dyDescent="0.25">
      <c r="A28" s="93">
        <v>4</v>
      </c>
      <c r="B28" s="93"/>
      <c r="C28" s="93"/>
      <c r="D28" s="194" t="s">
        <v>584</v>
      </c>
      <c r="E28" s="194" t="s">
        <v>545</v>
      </c>
      <c r="F28" s="194" t="s">
        <v>596</v>
      </c>
      <c r="G28" s="194" t="s">
        <v>545</v>
      </c>
      <c r="H28" s="194" t="s">
        <v>586</v>
      </c>
      <c r="I28" s="94" t="s">
        <v>545</v>
      </c>
      <c r="J28" s="194">
        <v>2024</v>
      </c>
      <c r="K28" s="94" t="s">
        <v>545</v>
      </c>
      <c r="L28" s="94" t="s">
        <v>369</v>
      </c>
      <c r="M28" s="94" t="s">
        <v>369</v>
      </c>
      <c r="N28" s="195" t="s">
        <v>545</v>
      </c>
      <c r="O28" s="195">
        <v>0.8</v>
      </c>
      <c r="P28" s="94"/>
      <c r="Q28" s="94"/>
      <c r="R28" s="94"/>
      <c r="S28" s="195" t="s">
        <v>298</v>
      </c>
      <c r="T28" s="195" t="s">
        <v>298</v>
      </c>
    </row>
    <row r="29" spans="1:20" ht="24" customHeight="1" x14ac:dyDescent="0.25">
      <c r="A29" s="93"/>
      <c r="B29" s="93"/>
      <c r="C29" s="93"/>
      <c r="D29" s="194" t="s">
        <v>598</v>
      </c>
      <c r="E29" s="194" t="s">
        <v>599</v>
      </c>
      <c r="F29" s="194" t="s">
        <v>600</v>
      </c>
      <c r="G29" s="194" t="s">
        <v>589</v>
      </c>
      <c r="H29" s="194" t="s">
        <v>589</v>
      </c>
      <c r="I29" s="94">
        <v>1976</v>
      </c>
      <c r="J29" s="194">
        <v>2024</v>
      </c>
      <c r="K29" s="94" t="s">
        <v>610</v>
      </c>
      <c r="L29" s="94">
        <v>6</v>
      </c>
      <c r="M29" s="94">
        <v>6</v>
      </c>
      <c r="N29" s="195">
        <v>0.18</v>
      </c>
      <c r="O29" s="195">
        <v>0.25</v>
      </c>
      <c r="P29" s="94"/>
      <c r="Q29" s="94"/>
      <c r="R29" s="94"/>
      <c r="S29" s="195"/>
      <c r="T29" s="195"/>
    </row>
    <row r="30" spans="1:20" s="30" customFormat="1" ht="12.75" x14ac:dyDescent="0.2">
      <c r="N30" s="30">
        <f>SUM(N27:N29)</f>
        <v>0.98</v>
      </c>
      <c r="O30" s="30">
        <f>SUM(O27:O29)</f>
        <v>1.85</v>
      </c>
      <c r="P30" s="30">
        <f>O30-N30</f>
        <v>0.87000000000000011</v>
      </c>
    </row>
    <row r="31" spans="1:20" s="30" customFormat="1" x14ac:dyDescent="0.25">
      <c r="B31" s="26" t="s">
        <v>104</v>
      </c>
      <c r="C31" s="26"/>
      <c r="D31" s="26"/>
      <c r="E31" s="26"/>
      <c r="F31" s="26"/>
      <c r="G31" s="26"/>
      <c r="H31" s="26"/>
      <c r="I31" s="26"/>
      <c r="J31" s="26"/>
      <c r="K31" s="26"/>
      <c r="L31" s="26"/>
      <c r="M31" s="26"/>
      <c r="N31" s="26"/>
      <c r="O31" s="26">
        <f>O29-N29</f>
        <v>7.0000000000000007E-2</v>
      </c>
      <c r="P31" s="26"/>
      <c r="Q31" s="26"/>
      <c r="R31" s="26"/>
    </row>
    <row r="32" spans="1:20" x14ac:dyDescent="0.25">
      <c r="B32" s="319" t="s">
        <v>422</v>
      </c>
      <c r="C32" s="319"/>
      <c r="D32" s="319"/>
      <c r="E32" s="319"/>
      <c r="F32" s="319"/>
      <c r="G32" s="319"/>
      <c r="H32" s="319"/>
      <c r="I32" s="319"/>
      <c r="J32" s="319"/>
      <c r="K32" s="319"/>
      <c r="L32" s="319"/>
      <c r="M32" s="319"/>
      <c r="N32" s="319"/>
      <c r="O32" s="319"/>
      <c r="P32" s="319"/>
      <c r="Q32" s="319"/>
      <c r="R32" s="319"/>
    </row>
    <row r="34" spans="2:113" x14ac:dyDescent="0.25">
      <c r="B34" s="28" t="s">
        <v>386</v>
      </c>
      <c r="C34" s="28"/>
      <c r="D34" s="28"/>
      <c r="E34" s="28"/>
      <c r="H34" s="28"/>
      <c r="I34" s="28"/>
      <c r="J34" s="28"/>
      <c r="K34" s="28"/>
      <c r="L34" s="28"/>
      <c r="M34" s="28"/>
      <c r="N34" s="28"/>
      <c r="O34" s="28"/>
      <c r="P34" s="28"/>
      <c r="Q34" s="28"/>
      <c r="R34" s="28"/>
      <c r="S34" s="29"/>
      <c r="T34" s="29"/>
      <c r="U34" s="29"/>
      <c r="V34" s="29"/>
      <c r="AN34" s="29"/>
      <c r="AO34" s="29"/>
      <c r="AP34" s="29"/>
      <c r="AQ34" s="29"/>
      <c r="AR34" s="29"/>
      <c r="AS34" s="29"/>
      <c r="AT34" s="29"/>
      <c r="AU34" s="29"/>
      <c r="AV34" s="29"/>
      <c r="AW34" s="29"/>
      <c r="AX34" s="29"/>
      <c r="AY34" s="29"/>
      <c r="AZ34" s="29"/>
      <c r="BA34" s="29"/>
      <c r="BB34" s="29"/>
      <c r="BC34" s="29"/>
      <c r="BD34" s="29"/>
      <c r="BE34" s="29"/>
      <c r="BF34" s="29"/>
      <c r="BG34" s="29"/>
      <c r="BH34" s="29"/>
      <c r="BI34" s="29"/>
      <c r="BJ34" s="29"/>
      <c r="BK34" s="29"/>
      <c r="BL34" s="29"/>
      <c r="BM34" s="29"/>
      <c r="BN34" s="29"/>
      <c r="BO34" s="29"/>
      <c r="BP34" s="29"/>
      <c r="BQ34" s="29"/>
      <c r="BR34" s="29"/>
      <c r="BS34" s="29"/>
      <c r="BT34" s="29"/>
      <c r="BU34" s="29"/>
      <c r="BV34" s="29"/>
      <c r="BW34" s="29"/>
      <c r="BX34" s="29"/>
      <c r="BY34" s="29"/>
      <c r="BZ34" s="29"/>
      <c r="CA34" s="29"/>
      <c r="CB34" s="29"/>
      <c r="CC34" s="29"/>
      <c r="CD34" s="29"/>
      <c r="CE34" s="29"/>
      <c r="CF34" s="29"/>
      <c r="CG34" s="29"/>
      <c r="CH34" s="29"/>
      <c r="CI34" s="29"/>
      <c r="CJ34" s="29"/>
      <c r="CK34" s="29"/>
      <c r="CL34" s="29"/>
      <c r="CM34" s="29"/>
      <c r="CN34" s="29"/>
      <c r="CO34" s="29"/>
      <c r="CP34" s="29"/>
      <c r="CQ34" s="29"/>
      <c r="CR34" s="29"/>
      <c r="CS34" s="29"/>
      <c r="CT34" s="29"/>
      <c r="CU34" s="29"/>
      <c r="CV34" s="29"/>
      <c r="CW34" s="29"/>
      <c r="CX34" s="29"/>
      <c r="CY34" s="29"/>
      <c r="CZ34" s="29"/>
      <c r="DA34" s="29"/>
      <c r="DB34" s="29"/>
      <c r="DC34" s="29"/>
      <c r="DD34" s="29"/>
      <c r="DE34" s="29"/>
      <c r="DF34" s="29"/>
      <c r="DG34" s="29"/>
      <c r="DH34" s="29"/>
      <c r="DI34" s="29"/>
    </row>
    <row r="35" spans="2:113" x14ac:dyDescent="0.25">
      <c r="B35" s="28" t="s">
        <v>103</v>
      </c>
      <c r="C35" s="28"/>
      <c r="D35" s="28"/>
      <c r="E35" s="28"/>
      <c r="H35" s="28"/>
      <c r="I35" s="28"/>
      <c r="J35" s="28"/>
      <c r="K35" s="28"/>
      <c r="L35" s="28"/>
      <c r="M35" s="28"/>
      <c r="N35" s="28"/>
      <c r="O35" s="28"/>
      <c r="P35" s="28"/>
      <c r="Q35" s="28"/>
      <c r="R35" s="28"/>
    </row>
    <row r="36" spans="2:113" x14ac:dyDescent="0.25">
      <c r="B36" s="28" t="s">
        <v>102</v>
      </c>
      <c r="C36" s="28"/>
      <c r="D36" s="28"/>
      <c r="E36" s="28"/>
      <c r="H36" s="28"/>
      <c r="I36" s="28"/>
      <c r="J36" s="28"/>
      <c r="K36" s="28"/>
      <c r="L36" s="28"/>
      <c r="M36" s="28"/>
      <c r="N36" s="28"/>
      <c r="O36" s="28"/>
      <c r="P36" s="28"/>
      <c r="Q36" s="28"/>
      <c r="R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row>
    <row r="37" spans="2:113" x14ac:dyDescent="0.25">
      <c r="B37" s="28" t="s">
        <v>101</v>
      </c>
      <c r="C37" s="28"/>
      <c r="D37" s="28"/>
      <c r="E37" s="28"/>
      <c r="H37" s="28"/>
      <c r="I37" s="28"/>
      <c r="J37" s="28"/>
      <c r="K37" s="28"/>
      <c r="L37" s="28"/>
      <c r="M37" s="28"/>
      <c r="N37" s="28"/>
      <c r="O37" s="28"/>
      <c r="P37" s="28"/>
      <c r="Q37" s="28"/>
      <c r="R37" s="28"/>
      <c r="S37" s="28"/>
      <c r="T37" s="28"/>
      <c r="U37" s="28"/>
      <c r="V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c r="DD37" s="27"/>
      <c r="DE37" s="27"/>
      <c r="DF37" s="27"/>
      <c r="DG37" s="27"/>
      <c r="DH37" s="27"/>
      <c r="DI37" s="27"/>
    </row>
    <row r="38" spans="2:113" x14ac:dyDescent="0.25">
      <c r="B38" s="28" t="s">
        <v>100</v>
      </c>
      <c r="C38" s="28"/>
      <c r="D38" s="28"/>
      <c r="E38" s="28"/>
      <c r="H38" s="28"/>
      <c r="I38" s="28"/>
      <c r="J38" s="28"/>
      <c r="K38" s="28"/>
      <c r="L38" s="28"/>
      <c r="M38" s="28"/>
      <c r="N38" s="28"/>
      <c r="O38" s="28"/>
      <c r="P38" s="28"/>
      <c r="Q38" s="28"/>
      <c r="R38" s="28"/>
      <c r="S38" s="28"/>
      <c r="T38" s="28"/>
      <c r="U38" s="28"/>
      <c r="V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c r="DD38" s="27"/>
      <c r="DE38" s="27"/>
      <c r="DF38" s="27"/>
      <c r="DG38" s="27"/>
      <c r="DH38" s="27"/>
      <c r="DI38" s="27"/>
    </row>
    <row r="39" spans="2:113" x14ac:dyDescent="0.25">
      <c r="B39" s="28" t="s">
        <v>99</v>
      </c>
      <c r="C39" s="28"/>
      <c r="D39" s="28"/>
      <c r="E39" s="28"/>
      <c r="H39" s="28"/>
      <c r="I39" s="28"/>
      <c r="J39" s="28"/>
      <c r="K39" s="28"/>
      <c r="L39" s="28"/>
      <c r="M39" s="28"/>
      <c r="N39" s="28"/>
      <c r="O39" s="28"/>
      <c r="P39" s="28"/>
      <c r="Q39" s="28"/>
      <c r="R39" s="28"/>
      <c r="S39" s="28"/>
      <c r="T39" s="28"/>
      <c r="U39" s="28"/>
      <c r="V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c r="DD39" s="27"/>
      <c r="DE39" s="27"/>
      <c r="DF39" s="27"/>
      <c r="DG39" s="27"/>
      <c r="DH39" s="27"/>
      <c r="DI39" s="27"/>
    </row>
    <row r="40" spans="2:113" x14ac:dyDescent="0.25">
      <c r="B40" s="28" t="s">
        <v>98</v>
      </c>
      <c r="C40" s="28"/>
      <c r="D40" s="28"/>
      <c r="E40" s="28"/>
      <c r="H40" s="28"/>
      <c r="I40" s="28"/>
      <c r="J40" s="28"/>
      <c r="K40" s="28"/>
      <c r="L40" s="28"/>
      <c r="M40" s="28"/>
      <c r="N40" s="28"/>
      <c r="O40" s="28"/>
      <c r="P40" s="28"/>
      <c r="Q40" s="28"/>
      <c r="R40" s="28"/>
      <c r="S40" s="28"/>
      <c r="T40" s="28"/>
      <c r="U40" s="28"/>
      <c r="V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c r="DD40" s="27"/>
      <c r="DE40" s="27"/>
      <c r="DF40" s="27"/>
      <c r="DG40" s="27"/>
      <c r="DH40" s="27"/>
      <c r="DI40" s="27"/>
    </row>
    <row r="41" spans="2:113" x14ac:dyDescent="0.25">
      <c r="B41" s="28" t="s">
        <v>97</v>
      </c>
      <c r="C41" s="28"/>
      <c r="D41" s="28"/>
      <c r="E41" s="28"/>
      <c r="H41" s="28"/>
      <c r="I41" s="28"/>
      <c r="J41" s="28"/>
      <c r="K41" s="28"/>
      <c r="L41" s="28"/>
      <c r="M41" s="28"/>
      <c r="N41" s="28"/>
      <c r="O41" s="28"/>
      <c r="P41" s="28"/>
      <c r="Q41" s="28"/>
      <c r="R41" s="28"/>
      <c r="S41" s="28"/>
      <c r="T41" s="28"/>
      <c r="U41" s="28"/>
      <c r="V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c r="CJ41" s="27"/>
      <c r="CK41" s="27"/>
      <c r="CL41" s="27"/>
      <c r="CM41" s="27"/>
      <c r="CN41" s="27"/>
      <c r="CO41" s="27"/>
      <c r="CP41" s="27"/>
      <c r="CQ41" s="27"/>
      <c r="CR41" s="27"/>
      <c r="CS41" s="27"/>
      <c r="CT41" s="27"/>
      <c r="CU41" s="27"/>
      <c r="CV41" s="27"/>
      <c r="CW41" s="27"/>
      <c r="CX41" s="27"/>
      <c r="CY41" s="27"/>
      <c r="CZ41" s="27"/>
      <c r="DA41" s="27"/>
      <c r="DB41" s="27"/>
      <c r="DC41" s="27"/>
      <c r="DD41" s="27"/>
      <c r="DE41" s="27"/>
      <c r="DF41" s="27"/>
      <c r="DG41" s="27"/>
      <c r="DH41" s="27"/>
      <c r="DI41" s="27"/>
    </row>
    <row r="42" spans="2:113" x14ac:dyDescent="0.25">
      <c r="B42" s="28" t="s">
        <v>96</v>
      </c>
      <c r="C42" s="28"/>
      <c r="D42" s="28"/>
      <c r="E42" s="28"/>
      <c r="H42" s="28"/>
      <c r="I42" s="28"/>
      <c r="J42" s="28"/>
      <c r="K42" s="28"/>
      <c r="L42" s="28"/>
      <c r="M42" s="28"/>
      <c r="N42" s="28"/>
      <c r="O42" s="28"/>
      <c r="P42" s="28"/>
      <c r="Q42" s="28"/>
      <c r="R42" s="28"/>
      <c r="S42" s="28"/>
      <c r="T42" s="28"/>
      <c r="U42" s="28"/>
      <c r="V42" s="28"/>
      <c r="AN42" s="28"/>
      <c r="AO42" s="28"/>
      <c r="AP42" s="28"/>
      <c r="AQ42" s="28"/>
      <c r="AR42" s="28"/>
      <c r="AS42" s="28"/>
      <c r="AT42" s="28"/>
      <c r="AU42" s="28"/>
      <c r="AV42" s="28"/>
      <c r="AW42" s="28"/>
      <c r="AX42" s="28"/>
      <c r="AY42" s="28"/>
      <c r="AZ42" s="28"/>
      <c r="BA42" s="28"/>
      <c r="BB42" s="28"/>
      <c r="BC42" s="28"/>
      <c r="BD42" s="28"/>
      <c r="BE42" s="28"/>
      <c r="BF42" s="28"/>
      <c r="BG42" s="28"/>
      <c r="BH42" s="28"/>
      <c r="BI42" s="28"/>
      <c r="BJ42" s="28"/>
      <c r="BK42" s="27"/>
      <c r="BL42" s="27"/>
      <c r="BM42" s="27"/>
      <c r="BN42" s="27"/>
      <c r="BO42" s="27"/>
      <c r="BP42" s="27"/>
      <c r="BQ42" s="27"/>
      <c r="BR42" s="27"/>
      <c r="BS42" s="27"/>
      <c r="BT42" s="27"/>
      <c r="BU42" s="27"/>
      <c r="BV42" s="27"/>
      <c r="BW42" s="27"/>
      <c r="BX42" s="27"/>
      <c r="BY42" s="27"/>
      <c r="BZ42" s="27"/>
      <c r="CA42" s="27"/>
      <c r="CB42" s="27"/>
      <c r="CC42" s="27"/>
      <c r="CD42" s="27"/>
      <c r="CE42" s="27"/>
      <c r="CF42" s="27"/>
      <c r="CG42" s="27"/>
      <c r="CH42" s="27"/>
      <c r="CI42" s="27"/>
      <c r="CJ42" s="27"/>
      <c r="CK42" s="27"/>
      <c r="CL42" s="27"/>
      <c r="CM42" s="27"/>
      <c r="CN42" s="27"/>
      <c r="CO42" s="27"/>
      <c r="CP42" s="27"/>
      <c r="CQ42" s="27"/>
      <c r="CR42" s="27"/>
      <c r="CS42" s="27"/>
      <c r="CT42" s="27"/>
      <c r="CU42" s="27"/>
      <c r="CV42" s="27"/>
      <c r="CW42" s="27"/>
      <c r="CX42" s="27"/>
      <c r="CY42" s="27"/>
      <c r="CZ42" s="27"/>
      <c r="DA42" s="27"/>
      <c r="DB42" s="27"/>
      <c r="DC42" s="27"/>
      <c r="DD42" s="27"/>
      <c r="DE42" s="27"/>
      <c r="DF42" s="27"/>
      <c r="DG42" s="27"/>
      <c r="DH42" s="27"/>
      <c r="DI42" s="27"/>
    </row>
    <row r="43" spans="2:113" x14ac:dyDescent="0.25">
      <c r="B43" s="28" t="s">
        <v>95</v>
      </c>
      <c r="C43" s="28"/>
      <c r="D43" s="28"/>
      <c r="E43" s="28"/>
      <c r="H43" s="28"/>
      <c r="I43" s="28"/>
      <c r="J43" s="28"/>
      <c r="K43" s="28"/>
      <c r="L43" s="28"/>
      <c r="M43" s="28"/>
      <c r="N43" s="28"/>
      <c r="O43" s="28"/>
      <c r="P43" s="28"/>
      <c r="Q43" s="28"/>
      <c r="R43" s="28"/>
      <c r="S43" s="28"/>
      <c r="T43" s="28"/>
      <c r="U43" s="28"/>
      <c r="V43" s="28"/>
      <c r="AN43" s="28"/>
      <c r="AO43" s="28"/>
      <c r="AP43" s="28"/>
      <c r="AQ43" s="28"/>
      <c r="AR43" s="28"/>
      <c r="AS43" s="28"/>
      <c r="AT43" s="28"/>
      <c r="AU43" s="28"/>
      <c r="AV43" s="28"/>
      <c r="AW43" s="28"/>
      <c r="AX43" s="28"/>
      <c r="AY43" s="28"/>
      <c r="AZ43" s="28"/>
      <c r="BA43" s="28"/>
      <c r="BB43" s="28"/>
      <c r="BC43" s="28"/>
      <c r="BD43" s="28"/>
      <c r="BE43" s="28"/>
      <c r="BF43" s="28"/>
      <c r="BG43" s="28"/>
      <c r="BH43" s="28"/>
      <c r="BI43" s="28"/>
      <c r="BJ43" s="28"/>
      <c r="BK43" s="27"/>
      <c r="BL43" s="27"/>
      <c r="BM43" s="27"/>
      <c r="BN43" s="27"/>
      <c r="BO43" s="27"/>
      <c r="BP43" s="27"/>
      <c r="BQ43" s="27"/>
      <c r="BR43" s="27"/>
      <c r="BS43" s="27"/>
      <c r="BT43" s="27"/>
      <c r="BU43" s="27"/>
      <c r="BV43" s="27"/>
      <c r="BW43" s="27"/>
      <c r="BX43" s="27"/>
      <c r="BY43" s="27"/>
      <c r="BZ43" s="27"/>
      <c r="CA43" s="27"/>
      <c r="CB43" s="27"/>
      <c r="CC43" s="27"/>
      <c r="CD43" s="27"/>
      <c r="CE43" s="27"/>
      <c r="CF43" s="27"/>
      <c r="CG43" s="27"/>
      <c r="CH43" s="27"/>
      <c r="CI43" s="27"/>
      <c r="CJ43" s="27"/>
      <c r="CK43" s="27"/>
      <c r="CL43" s="27"/>
      <c r="CM43" s="27"/>
      <c r="CN43" s="27"/>
      <c r="CO43" s="27"/>
      <c r="CP43" s="27"/>
      <c r="CQ43" s="27"/>
      <c r="CR43" s="27"/>
      <c r="CS43" s="27"/>
      <c r="CT43" s="27"/>
      <c r="CU43" s="27"/>
      <c r="CV43" s="27"/>
      <c r="CW43" s="27"/>
      <c r="CX43" s="27"/>
      <c r="CY43" s="27"/>
      <c r="CZ43" s="27"/>
      <c r="DA43" s="27"/>
      <c r="DB43" s="27"/>
      <c r="DC43" s="27"/>
      <c r="DD43" s="27"/>
      <c r="DE43" s="27"/>
      <c r="DF43" s="27"/>
      <c r="DG43" s="27"/>
      <c r="DH43" s="27"/>
      <c r="DI43" s="27"/>
    </row>
    <row r="44" spans="2:113" x14ac:dyDescent="0.25">
      <c r="Q44" s="28"/>
      <c r="R44" s="28"/>
      <c r="S44" s="28"/>
      <c r="T44" s="28"/>
      <c r="U44" s="28"/>
      <c r="V44" s="28"/>
      <c r="AN44" s="28"/>
      <c r="AO44" s="28"/>
      <c r="AP44" s="28"/>
      <c r="AQ44" s="28"/>
      <c r="AR44" s="28"/>
      <c r="AS44" s="28"/>
      <c r="AT44" s="28"/>
      <c r="AU44" s="28"/>
      <c r="AV44" s="28"/>
      <c r="AW44" s="28"/>
      <c r="AX44" s="28"/>
      <c r="AY44" s="28"/>
      <c r="AZ44" s="28"/>
      <c r="BA44" s="28"/>
      <c r="BB44" s="28"/>
      <c r="BC44" s="28"/>
      <c r="BD44" s="28"/>
      <c r="BE44" s="28"/>
      <c r="BF44" s="28"/>
      <c r="BG44" s="28"/>
      <c r="BH44" s="28"/>
      <c r="BI44" s="28"/>
      <c r="BJ44" s="28"/>
      <c r="BK44" s="27"/>
      <c r="BL44" s="27"/>
      <c r="BM44" s="27"/>
      <c r="BN44" s="27"/>
      <c r="BO44" s="27"/>
      <c r="BP44" s="27"/>
      <c r="BQ44" s="27"/>
      <c r="BR44" s="27"/>
      <c r="BS44" s="27"/>
      <c r="BT44" s="27"/>
      <c r="BU44" s="27"/>
      <c r="BV44" s="27"/>
      <c r="BW44" s="27"/>
      <c r="BX44" s="27"/>
      <c r="BY44" s="27"/>
      <c r="BZ44" s="27"/>
      <c r="CA44" s="27"/>
      <c r="CB44" s="27"/>
      <c r="CC44" s="27"/>
      <c r="CD44" s="27"/>
      <c r="CE44" s="27"/>
      <c r="CF44" s="27"/>
      <c r="CG44" s="27"/>
      <c r="CH44" s="27"/>
      <c r="CI44" s="27"/>
      <c r="CJ44" s="27"/>
      <c r="CK44" s="27"/>
      <c r="CL44" s="27"/>
      <c r="CM44" s="27"/>
      <c r="CN44" s="27"/>
      <c r="CO44" s="27"/>
      <c r="CP44" s="27"/>
      <c r="CQ44" s="27"/>
      <c r="CR44" s="27"/>
      <c r="CS44" s="27"/>
      <c r="CT44" s="27"/>
      <c r="CU44" s="27"/>
      <c r="CV44" s="27"/>
      <c r="CW44" s="27"/>
      <c r="CX44" s="27"/>
      <c r="CY44" s="27"/>
      <c r="CZ44" s="27"/>
      <c r="DA44" s="27"/>
      <c r="DB44" s="27"/>
      <c r="DC44" s="27"/>
      <c r="DD44" s="27"/>
      <c r="DE44" s="27"/>
      <c r="DF44" s="27"/>
      <c r="DG44" s="27"/>
      <c r="DH44" s="27"/>
      <c r="DI44" s="27"/>
    </row>
    <row r="45" spans="2:113" x14ac:dyDescent="0.25">
      <c r="Q45" s="28"/>
      <c r="R45" s="28"/>
      <c r="S45" s="28"/>
      <c r="T45" s="28"/>
      <c r="U45" s="28"/>
      <c r="V45" s="28"/>
      <c r="W45" s="28"/>
      <c r="X45" s="28"/>
      <c r="Y45" s="28"/>
      <c r="Z45" s="28"/>
      <c r="AA45" s="28"/>
      <c r="AB45" s="28"/>
      <c r="AC45" s="28"/>
      <c r="AD45" s="28"/>
      <c r="AE45" s="28"/>
      <c r="AF45" s="28"/>
      <c r="AG45" s="28"/>
      <c r="AH45" s="28"/>
      <c r="AI45" s="28"/>
      <c r="AJ45" s="28"/>
      <c r="AK45" s="28"/>
      <c r="AL45" s="28"/>
      <c r="AM45" s="28"/>
      <c r="AN45" s="28"/>
      <c r="AO45" s="28"/>
      <c r="AP45" s="28"/>
      <c r="AQ45" s="28"/>
      <c r="AR45" s="28"/>
      <c r="AS45" s="28"/>
      <c r="AT45" s="28"/>
      <c r="AU45" s="28"/>
      <c r="AV45" s="28"/>
      <c r="AW45" s="28"/>
      <c r="AX45" s="28"/>
      <c r="AY45" s="28"/>
      <c r="AZ45" s="28"/>
      <c r="BA45" s="28"/>
      <c r="BB45" s="28"/>
      <c r="BC45" s="28"/>
      <c r="BD45" s="28"/>
      <c r="BE45" s="28"/>
      <c r="BF45" s="28"/>
      <c r="BG45" s="28"/>
      <c r="BH45" s="28"/>
      <c r="BI45" s="28"/>
      <c r="BJ45" s="28"/>
      <c r="BK45" s="27"/>
      <c r="BL45" s="27"/>
      <c r="BM45" s="27"/>
      <c r="BN45" s="27"/>
      <c r="BO45" s="27"/>
      <c r="BP45" s="27"/>
      <c r="BQ45" s="27"/>
      <c r="BR45" s="27"/>
      <c r="BS45" s="27"/>
      <c r="BT45" s="27"/>
      <c r="BU45" s="27"/>
      <c r="BV45" s="27"/>
      <c r="BW45" s="27"/>
      <c r="BX45" s="27"/>
      <c r="BY45" s="27"/>
      <c r="BZ45" s="27"/>
      <c r="CA45" s="27"/>
      <c r="CB45" s="27"/>
      <c r="CC45" s="27"/>
      <c r="CD45" s="27"/>
      <c r="CE45" s="27"/>
      <c r="CF45" s="27"/>
      <c r="CG45" s="27"/>
      <c r="CH45" s="27"/>
      <c r="CI45" s="27"/>
      <c r="CJ45" s="27"/>
      <c r="CK45" s="27"/>
      <c r="CL45" s="27"/>
      <c r="CM45" s="27"/>
      <c r="CN45" s="27"/>
      <c r="CO45" s="27"/>
      <c r="CP45" s="27"/>
      <c r="CQ45" s="27"/>
      <c r="CR45" s="27"/>
      <c r="CS45" s="27"/>
      <c r="CT45" s="27"/>
      <c r="CU45" s="27"/>
      <c r="CV45" s="27"/>
      <c r="CW45" s="27"/>
      <c r="CX45" s="27"/>
      <c r="CY45" s="27"/>
      <c r="CZ45" s="27"/>
      <c r="DA45" s="27"/>
      <c r="DB45" s="27"/>
      <c r="DC45" s="27"/>
      <c r="DD45" s="27"/>
      <c r="DE45" s="27"/>
      <c r="DF45" s="27"/>
      <c r="DG45" s="27"/>
      <c r="DH45" s="27"/>
      <c r="DI45" s="2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2:R3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A13" zoomScale="80" zoomScaleSheetLayoutView="80" workbookViewId="0">
      <selection activeCell="O25" sqref="O25"/>
    </sheetView>
  </sheetViews>
  <sheetFormatPr defaultColWidth="10.7109375" defaultRowHeight="15.75" x14ac:dyDescent="0.25"/>
  <cols>
    <col min="1" max="3" width="10.7109375" style="26"/>
    <col min="4" max="4" width="11.5703125" style="26" customWidth="1"/>
    <col min="5" max="5" width="11.85546875" style="26" customWidth="1"/>
    <col min="6" max="6" width="8.7109375" style="26" customWidth="1"/>
    <col min="7" max="7" width="10.28515625" style="26" customWidth="1"/>
    <col min="8" max="8" width="8.7109375" style="26" customWidth="1"/>
    <col min="9" max="9" width="8.28515625" style="26" customWidth="1"/>
    <col min="10" max="10" width="20.140625" style="26" customWidth="1"/>
    <col min="11" max="11" width="11.140625" style="26" customWidth="1"/>
    <col min="12" max="12" width="8.85546875" style="26" customWidth="1"/>
    <col min="13" max="13" width="8.7109375" style="26" customWidth="1"/>
    <col min="14" max="14" width="13.7109375" style="26" customWidth="1"/>
    <col min="15" max="16" width="8.7109375" style="26" customWidth="1"/>
    <col min="17" max="17" width="11.85546875" style="26" customWidth="1"/>
    <col min="18" max="18" width="12" style="26" customWidth="1"/>
    <col min="19" max="19" width="18.28515625" style="26" customWidth="1"/>
    <col min="20" max="20" width="22.42578125" style="26" customWidth="1"/>
    <col min="21" max="21" width="30.7109375" style="26" customWidth="1"/>
    <col min="22" max="22" width="8.7109375" style="26" customWidth="1"/>
    <col min="23" max="23" width="20.7109375" style="26" customWidth="1"/>
    <col min="24" max="24" width="24.5703125"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106"/>
    </row>
    <row r="5" spans="1:27" s="14" customFormat="1" x14ac:dyDescent="0.2">
      <c r="A5" s="302" t="str">
        <f>'1. паспорт местоположение'!A5:C5</f>
        <v>Год раскрытия информации: 2024  год</v>
      </c>
      <c r="B5" s="302"/>
      <c r="C5" s="302"/>
      <c r="D5" s="302"/>
      <c r="E5" s="302"/>
      <c r="F5" s="302"/>
      <c r="G5" s="302"/>
      <c r="H5" s="302"/>
      <c r="I5" s="302"/>
      <c r="J5" s="302"/>
      <c r="K5" s="302"/>
      <c r="L5" s="302"/>
      <c r="M5" s="302"/>
      <c r="N5" s="302"/>
      <c r="O5" s="302"/>
      <c r="P5" s="302"/>
      <c r="Q5" s="302"/>
      <c r="R5" s="302"/>
      <c r="S5" s="302"/>
      <c r="T5" s="302"/>
      <c r="U5" s="302"/>
      <c r="V5" s="302"/>
      <c r="W5" s="302"/>
      <c r="X5" s="302"/>
      <c r="Y5" s="302"/>
      <c r="Z5" s="302"/>
      <c r="AA5" s="302"/>
    </row>
    <row r="6" spans="1:27" s="14" customFormat="1" x14ac:dyDescent="0.2">
      <c r="A6" s="103"/>
      <c r="B6" s="103"/>
      <c r="C6" s="103"/>
      <c r="D6" s="103"/>
      <c r="E6" s="103"/>
      <c r="F6" s="103"/>
      <c r="G6" s="103"/>
      <c r="H6" s="103"/>
      <c r="I6" s="103"/>
      <c r="J6" s="103"/>
      <c r="K6" s="103"/>
      <c r="L6" s="103"/>
      <c r="M6" s="103"/>
      <c r="N6" s="103"/>
      <c r="O6" s="103"/>
      <c r="P6" s="103"/>
      <c r="Q6" s="103"/>
      <c r="R6" s="103"/>
      <c r="S6" s="103"/>
      <c r="T6" s="103"/>
    </row>
    <row r="7" spans="1:27" s="14" customFormat="1" ht="18.75" x14ac:dyDescent="0.2">
      <c r="E7" s="311" t="s">
        <v>7</v>
      </c>
      <c r="F7" s="311"/>
      <c r="G7" s="311"/>
      <c r="H7" s="311"/>
      <c r="I7" s="311"/>
      <c r="J7" s="311"/>
      <c r="K7" s="311"/>
      <c r="L7" s="311"/>
      <c r="M7" s="311"/>
      <c r="N7" s="311"/>
      <c r="O7" s="311"/>
      <c r="P7" s="311"/>
      <c r="Q7" s="311"/>
      <c r="R7" s="311"/>
      <c r="S7" s="311"/>
      <c r="T7" s="311"/>
      <c r="U7" s="311"/>
      <c r="V7" s="311"/>
      <c r="W7" s="311"/>
      <c r="X7" s="311"/>
      <c r="Y7" s="311"/>
    </row>
    <row r="8" spans="1:27" s="14" customFormat="1" ht="18.75" x14ac:dyDescent="0.2">
      <c r="E8" s="119"/>
      <c r="F8" s="119"/>
      <c r="G8" s="119"/>
      <c r="H8" s="119"/>
      <c r="I8" s="119"/>
      <c r="J8" s="119"/>
      <c r="K8" s="119"/>
      <c r="L8" s="119"/>
      <c r="M8" s="119"/>
      <c r="N8" s="119"/>
      <c r="O8" s="119"/>
      <c r="P8" s="119"/>
      <c r="Q8" s="119"/>
      <c r="R8" s="119"/>
      <c r="S8" s="108"/>
      <c r="T8" s="108"/>
      <c r="U8" s="108"/>
      <c r="V8" s="108"/>
      <c r="W8" s="108"/>
    </row>
    <row r="9" spans="1:27" s="14" customFormat="1" ht="18.75" customHeight="1" x14ac:dyDescent="0.2">
      <c r="E9" s="309" t="str">
        <f>'1. паспорт местоположение'!A9</f>
        <v xml:space="preserve">Акционерное общество "Западная энергетическая компания" </v>
      </c>
      <c r="F9" s="309"/>
      <c r="G9" s="309"/>
      <c r="H9" s="309"/>
      <c r="I9" s="309"/>
      <c r="J9" s="309"/>
      <c r="K9" s="309"/>
      <c r="L9" s="309"/>
      <c r="M9" s="309"/>
      <c r="N9" s="309"/>
      <c r="O9" s="309"/>
      <c r="P9" s="309"/>
      <c r="Q9" s="309"/>
      <c r="R9" s="309"/>
      <c r="S9" s="309"/>
      <c r="T9" s="309"/>
      <c r="U9" s="309"/>
      <c r="V9" s="309"/>
      <c r="W9" s="309"/>
      <c r="X9" s="309"/>
      <c r="Y9" s="309"/>
    </row>
    <row r="10" spans="1:27" s="14" customFormat="1" ht="18.75" customHeight="1" x14ac:dyDescent="0.2">
      <c r="E10" s="315" t="s">
        <v>6</v>
      </c>
      <c r="F10" s="315"/>
      <c r="G10" s="315"/>
      <c r="H10" s="315"/>
      <c r="I10" s="315"/>
      <c r="J10" s="315"/>
      <c r="K10" s="315"/>
      <c r="L10" s="315"/>
      <c r="M10" s="315"/>
      <c r="N10" s="315"/>
      <c r="O10" s="315"/>
      <c r="P10" s="315"/>
      <c r="Q10" s="315"/>
      <c r="R10" s="315"/>
      <c r="S10" s="315"/>
      <c r="T10" s="315"/>
      <c r="U10" s="315"/>
      <c r="V10" s="315"/>
      <c r="W10" s="315"/>
      <c r="X10" s="315"/>
      <c r="Y10" s="315"/>
    </row>
    <row r="11" spans="1:27" s="14" customFormat="1" ht="18.75" x14ac:dyDescent="0.2">
      <c r="E11" s="119"/>
      <c r="F11" s="119"/>
      <c r="G11" s="119"/>
      <c r="H11" s="119"/>
      <c r="I11" s="119"/>
      <c r="J11" s="119"/>
      <c r="K11" s="119"/>
      <c r="L11" s="119"/>
      <c r="M11" s="119"/>
      <c r="N11" s="119"/>
      <c r="O11" s="119"/>
      <c r="P11" s="119"/>
      <c r="Q11" s="119"/>
      <c r="R11" s="119"/>
      <c r="S11" s="108"/>
      <c r="T11" s="108"/>
      <c r="U11" s="108"/>
      <c r="V11" s="108"/>
      <c r="W11" s="108"/>
    </row>
    <row r="12" spans="1:27" s="14" customFormat="1" ht="18.75" customHeight="1" x14ac:dyDescent="0.2">
      <c r="E12" s="309" t="str">
        <f>'1. паспорт местоположение'!A12</f>
        <v>J 19-09</v>
      </c>
      <c r="F12" s="309"/>
      <c r="G12" s="309"/>
      <c r="H12" s="309"/>
      <c r="I12" s="309"/>
      <c r="J12" s="309"/>
      <c r="K12" s="309"/>
      <c r="L12" s="309"/>
      <c r="M12" s="309"/>
      <c r="N12" s="309"/>
      <c r="O12" s="309"/>
      <c r="P12" s="309"/>
      <c r="Q12" s="309"/>
      <c r="R12" s="309"/>
      <c r="S12" s="309"/>
      <c r="T12" s="309"/>
      <c r="U12" s="309"/>
      <c r="V12" s="309"/>
      <c r="W12" s="309"/>
      <c r="X12" s="309"/>
      <c r="Y12" s="309"/>
    </row>
    <row r="13" spans="1:27" s="14" customFormat="1" ht="18.75" customHeight="1" x14ac:dyDescent="0.2">
      <c r="E13" s="315" t="s">
        <v>5</v>
      </c>
      <c r="F13" s="315"/>
      <c r="G13" s="315"/>
      <c r="H13" s="315"/>
      <c r="I13" s="315"/>
      <c r="J13" s="315"/>
      <c r="K13" s="315"/>
      <c r="L13" s="315"/>
      <c r="M13" s="315"/>
      <c r="N13" s="315"/>
      <c r="O13" s="315"/>
      <c r="P13" s="315"/>
      <c r="Q13" s="315"/>
      <c r="R13" s="315"/>
      <c r="S13" s="315"/>
      <c r="T13" s="315"/>
      <c r="U13" s="315"/>
      <c r="V13" s="315"/>
      <c r="W13" s="315"/>
      <c r="X13" s="315"/>
      <c r="Y13" s="315"/>
    </row>
    <row r="14" spans="1:27" s="14" customFormat="1" ht="15.75" customHeight="1" x14ac:dyDescent="0.2">
      <c r="E14" s="109"/>
      <c r="F14" s="109"/>
      <c r="G14" s="109"/>
      <c r="H14" s="109"/>
      <c r="I14" s="109"/>
      <c r="J14" s="109"/>
      <c r="K14" s="109"/>
      <c r="L14" s="109"/>
      <c r="M14" s="109"/>
      <c r="N14" s="109"/>
      <c r="O14" s="109"/>
      <c r="P14" s="109"/>
      <c r="Q14" s="109"/>
      <c r="R14" s="109"/>
      <c r="S14" s="109"/>
      <c r="T14" s="109"/>
      <c r="U14" s="109"/>
      <c r="V14" s="109"/>
      <c r="W14" s="109"/>
    </row>
    <row r="15" spans="1:27" s="107" customFormat="1" x14ac:dyDescent="0.2">
      <c r="E15" s="309" t="str">
        <f>'1. паспорт местоположение'!A15</f>
        <v>Реконструкция ТП 15/6/0,4кВ  ТП-5 с заменой ячеек КРУ 15кВ с  маслянными выключателями SCI-20 ячейки  на КРУ-15кВ с вакуумными выключателями 9 шт., заменой ячеек КРУ 6 кВ с воздушными выключателями нагрузки на КРУ  с элегазовыми выключателями нагрузки;  с установкой 2-го трансформатора 15 кВ мощностью 0,8 МВА,с приростом мощности на 0,8 МВА; заменой трансформатора 6 кВ мощностью 0,18 МВА  на 0,25 МВА, с приростом мощности 0,07 МВА, в п.Северный, Багратионовского р-на</v>
      </c>
      <c r="F15" s="309"/>
      <c r="G15" s="309"/>
      <c r="H15" s="309"/>
      <c r="I15" s="309"/>
      <c r="J15" s="309"/>
      <c r="K15" s="309"/>
      <c r="L15" s="309"/>
      <c r="M15" s="309"/>
      <c r="N15" s="309"/>
      <c r="O15" s="309"/>
      <c r="P15" s="309"/>
      <c r="Q15" s="309"/>
      <c r="R15" s="309"/>
      <c r="S15" s="309"/>
      <c r="T15" s="309"/>
      <c r="U15" s="309"/>
      <c r="V15" s="309"/>
      <c r="W15" s="309"/>
      <c r="X15" s="309"/>
      <c r="Y15" s="309"/>
    </row>
    <row r="16" spans="1:27" s="107" customFormat="1" ht="15" customHeight="1" x14ac:dyDescent="0.2">
      <c r="E16" s="315" t="s">
        <v>4</v>
      </c>
      <c r="F16" s="315"/>
      <c r="G16" s="315"/>
      <c r="H16" s="315"/>
      <c r="I16" s="315"/>
      <c r="J16" s="315"/>
      <c r="K16" s="315"/>
      <c r="L16" s="315"/>
      <c r="M16" s="315"/>
      <c r="N16" s="315"/>
      <c r="O16" s="315"/>
      <c r="P16" s="315"/>
      <c r="Q16" s="315"/>
      <c r="R16" s="315"/>
      <c r="S16" s="315"/>
      <c r="T16" s="315"/>
      <c r="U16" s="315"/>
      <c r="V16" s="315"/>
      <c r="W16" s="315"/>
      <c r="X16" s="315"/>
      <c r="Y16" s="315"/>
    </row>
    <row r="17" spans="1:27" s="107" customFormat="1" ht="15" customHeight="1" x14ac:dyDescent="0.2">
      <c r="E17" s="109"/>
      <c r="F17" s="109"/>
      <c r="G17" s="109"/>
      <c r="H17" s="109"/>
      <c r="I17" s="109"/>
      <c r="J17" s="109"/>
      <c r="K17" s="109"/>
      <c r="L17" s="109"/>
      <c r="M17" s="109"/>
      <c r="N17" s="109"/>
      <c r="O17" s="109"/>
      <c r="P17" s="109"/>
      <c r="Q17" s="109"/>
      <c r="R17" s="109"/>
      <c r="S17" s="109"/>
      <c r="T17" s="109"/>
      <c r="U17" s="109"/>
      <c r="V17" s="109"/>
      <c r="W17" s="109"/>
    </row>
    <row r="18" spans="1:27" s="107" customFormat="1" ht="15" customHeight="1" x14ac:dyDescent="0.2">
      <c r="E18" s="333"/>
      <c r="F18" s="333"/>
      <c r="G18" s="333"/>
      <c r="H18" s="333"/>
      <c r="I18" s="333"/>
      <c r="J18" s="333"/>
      <c r="K18" s="333"/>
      <c r="L18" s="333"/>
      <c r="M18" s="333"/>
      <c r="N18" s="333"/>
      <c r="O18" s="333"/>
      <c r="P18" s="333"/>
      <c r="Q18" s="333"/>
      <c r="R18" s="333"/>
      <c r="S18" s="333"/>
      <c r="T18" s="333"/>
      <c r="U18" s="333"/>
      <c r="V18" s="333"/>
      <c r="W18" s="333"/>
      <c r="X18" s="333"/>
      <c r="Y18" s="333"/>
    </row>
    <row r="19" spans="1:27" ht="25.5" customHeight="1" x14ac:dyDescent="0.25">
      <c r="A19" s="333" t="s">
        <v>390</v>
      </c>
      <c r="B19" s="333"/>
      <c r="C19" s="333"/>
      <c r="D19" s="333"/>
      <c r="E19" s="333"/>
      <c r="F19" s="333"/>
      <c r="G19" s="333"/>
      <c r="H19" s="333"/>
      <c r="I19" s="333"/>
      <c r="J19" s="333"/>
      <c r="K19" s="333"/>
      <c r="L19" s="333"/>
      <c r="M19" s="333"/>
      <c r="N19" s="333"/>
      <c r="O19" s="333"/>
      <c r="P19" s="333"/>
      <c r="Q19" s="333"/>
      <c r="R19" s="333"/>
      <c r="S19" s="333"/>
      <c r="T19" s="333"/>
      <c r="U19" s="333"/>
      <c r="V19" s="333"/>
      <c r="W19" s="333"/>
      <c r="X19" s="333"/>
      <c r="Y19" s="333"/>
      <c r="Z19" s="333"/>
      <c r="AA19" s="333"/>
    </row>
    <row r="20" spans="1:27" s="27" customFormat="1" ht="21" customHeight="1" x14ac:dyDescent="0.25"/>
    <row r="21" spans="1:27" ht="15.75" customHeight="1" x14ac:dyDescent="0.25">
      <c r="A21" s="324" t="s">
        <v>3</v>
      </c>
      <c r="B21" s="320" t="s">
        <v>397</v>
      </c>
      <c r="C21" s="321"/>
      <c r="D21" s="320" t="s">
        <v>399</v>
      </c>
      <c r="E21" s="321"/>
      <c r="F21" s="330" t="s">
        <v>88</v>
      </c>
      <c r="G21" s="332"/>
      <c r="H21" s="332"/>
      <c r="I21" s="331"/>
      <c r="J21" s="324" t="s">
        <v>400</v>
      </c>
      <c r="K21" s="320" t="s">
        <v>401</v>
      </c>
      <c r="L21" s="321"/>
      <c r="M21" s="320" t="s">
        <v>402</v>
      </c>
      <c r="N21" s="321"/>
      <c r="O21" s="320" t="s">
        <v>389</v>
      </c>
      <c r="P21" s="321"/>
      <c r="Q21" s="320" t="s">
        <v>121</v>
      </c>
      <c r="R21" s="321"/>
      <c r="S21" s="324" t="s">
        <v>120</v>
      </c>
      <c r="T21" s="324" t="s">
        <v>403</v>
      </c>
      <c r="U21" s="324" t="s">
        <v>398</v>
      </c>
      <c r="V21" s="320" t="s">
        <v>119</v>
      </c>
      <c r="W21" s="321"/>
      <c r="X21" s="330" t="s">
        <v>111</v>
      </c>
      <c r="Y21" s="332"/>
      <c r="Z21" s="330" t="s">
        <v>110</v>
      </c>
      <c r="AA21" s="332"/>
    </row>
    <row r="22" spans="1:27" ht="216" customHeight="1" x14ac:dyDescent="0.25">
      <c r="A22" s="326"/>
      <c r="B22" s="322"/>
      <c r="C22" s="323"/>
      <c r="D22" s="322"/>
      <c r="E22" s="323"/>
      <c r="F22" s="330" t="s">
        <v>118</v>
      </c>
      <c r="G22" s="331"/>
      <c r="H22" s="330" t="s">
        <v>117</v>
      </c>
      <c r="I22" s="331"/>
      <c r="J22" s="325"/>
      <c r="K22" s="322"/>
      <c r="L22" s="323"/>
      <c r="M22" s="322"/>
      <c r="N22" s="323"/>
      <c r="O22" s="322"/>
      <c r="P22" s="323"/>
      <c r="Q22" s="322"/>
      <c r="R22" s="323"/>
      <c r="S22" s="325"/>
      <c r="T22" s="325"/>
      <c r="U22" s="325"/>
      <c r="V22" s="322"/>
      <c r="W22" s="323"/>
      <c r="X22" s="54" t="s">
        <v>109</v>
      </c>
      <c r="Y22" s="54" t="s">
        <v>387</v>
      </c>
      <c r="Z22" s="54" t="s">
        <v>108</v>
      </c>
      <c r="AA22" s="54" t="s">
        <v>107</v>
      </c>
    </row>
    <row r="23" spans="1:27" ht="60" customHeight="1" x14ac:dyDescent="0.25">
      <c r="A23" s="325"/>
      <c r="B23" s="104" t="s">
        <v>105</v>
      </c>
      <c r="C23" s="104" t="s">
        <v>106</v>
      </c>
      <c r="D23" s="104" t="s">
        <v>105</v>
      </c>
      <c r="E23" s="104" t="s">
        <v>106</v>
      </c>
      <c r="F23" s="104" t="s">
        <v>105</v>
      </c>
      <c r="G23" s="104" t="s">
        <v>106</v>
      </c>
      <c r="H23" s="104" t="s">
        <v>105</v>
      </c>
      <c r="I23" s="104" t="s">
        <v>106</v>
      </c>
      <c r="J23" s="104" t="s">
        <v>105</v>
      </c>
      <c r="K23" s="104" t="s">
        <v>105</v>
      </c>
      <c r="L23" s="104" t="s">
        <v>106</v>
      </c>
      <c r="M23" s="104" t="s">
        <v>105</v>
      </c>
      <c r="N23" s="104" t="s">
        <v>106</v>
      </c>
      <c r="O23" s="104" t="s">
        <v>105</v>
      </c>
      <c r="P23" s="104" t="s">
        <v>106</v>
      </c>
      <c r="Q23" s="104" t="s">
        <v>105</v>
      </c>
      <c r="R23" s="104" t="s">
        <v>106</v>
      </c>
      <c r="S23" s="104" t="s">
        <v>105</v>
      </c>
      <c r="T23" s="104" t="s">
        <v>105</v>
      </c>
      <c r="U23" s="104" t="s">
        <v>105</v>
      </c>
      <c r="V23" s="104" t="s">
        <v>105</v>
      </c>
      <c r="W23" s="104" t="s">
        <v>106</v>
      </c>
      <c r="X23" s="104" t="s">
        <v>105</v>
      </c>
      <c r="Y23" s="104" t="s">
        <v>105</v>
      </c>
      <c r="Z23" s="54" t="s">
        <v>105</v>
      </c>
      <c r="AA23" s="54" t="s">
        <v>105</v>
      </c>
    </row>
    <row r="24" spans="1:27"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19</v>
      </c>
      <c r="R24" s="57">
        <v>20</v>
      </c>
      <c r="S24" s="57">
        <v>21</v>
      </c>
      <c r="T24" s="57">
        <v>22</v>
      </c>
      <c r="U24" s="57">
        <v>23</v>
      </c>
      <c r="V24" s="57">
        <v>24</v>
      </c>
      <c r="W24" s="57">
        <v>25</v>
      </c>
      <c r="X24" s="57">
        <v>26</v>
      </c>
      <c r="Y24" s="57">
        <v>27</v>
      </c>
      <c r="Z24" s="57">
        <v>28</v>
      </c>
      <c r="AA24" s="57">
        <v>29</v>
      </c>
    </row>
    <row r="25" spans="1:27" x14ac:dyDescent="0.25">
      <c r="A25" s="93"/>
      <c r="B25" s="95"/>
      <c r="C25" s="93"/>
      <c r="D25" s="93"/>
      <c r="E25" s="93"/>
      <c r="F25" s="93"/>
      <c r="G25" s="93"/>
      <c r="H25" s="93"/>
      <c r="I25" s="93"/>
      <c r="J25" s="93"/>
      <c r="K25" s="93"/>
      <c r="L25" s="93"/>
      <c r="M25" s="93"/>
      <c r="N25" s="93"/>
      <c r="O25" s="93"/>
      <c r="P25" s="93"/>
      <c r="Q25" s="93"/>
      <c r="R25" s="93"/>
      <c r="S25" s="93"/>
      <c r="T25" s="93"/>
      <c r="U25" s="93"/>
      <c r="V25" s="93"/>
      <c r="W25" s="93"/>
      <c r="X25" s="93"/>
      <c r="Y25" s="93"/>
      <c r="Z25" s="93"/>
      <c r="AA25" s="93"/>
    </row>
    <row r="26" spans="1:27" s="27" customFormat="1" x14ac:dyDescent="0.25">
      <c r="A26" s="93"/>
      <c r="B26" s="93"/>
      <c r="C26" s="93"/>
      <c r="D26" s="93"/>
      <c r="E26" s="93"/>
      <c r="F26" s="93"/>
      <c r="G26" s="93"/>
      <c r="H26" s="93"/>
      <c r="I26" s="93"/>
      <c r="J26" s="94"/>
      <c r="K26" s="94"/>
      <c r="L26" s="94"/>
      <c r="M26" s="93"/>
      <c r="N26" s="93"/>
      <c r="O26" s="93"/>
      <c r="P26" s="93"/>
      <c r="Q26" s="93"/>
      <c r="R26" s="93"/>
      <c r="S26" s="94"/>
      <c r="T26" s="94"/>
      <c r="U26" s="94"/>
      <c r="V26" s="93"/>
      <c r="W26" s="93"/>
      <c r="X26" s="93"/>
      <c r="Y26" s="93"/>
      <c r="Z26" s="93"/>
      <c r="AA26" s="93"/>
    </row>
    <row r="27" spans="1:27" ht="30" customHeight="1" x14ac:dyDescent="0.25">
      <c r="X27" s="55"/>
      <c r="Y27" s="56"/>
    </row>
    <row r="28" spans="1:27" s="30" customFormat="1" ht="12.75" x14ac:dyDescent="0.2"/>
    <row r="29" spans="1:27" s="30"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7" zoomScaleSheetLayoutView="100" workbookViewId="0">
      <selection activeCell="B26" sqref="B26"/>
    </sheetView>
  </sheetViews>
  <sheetFormatPr defaultColWidth="9.140625" defaultRowHeight="15" x14ac:dyDescent="0.25"/>
  <cols>
    <col min="1" max="1" width="6.140625" style="118" customWidth="1"/>
    <col min="2" max="2" width="53.5703125" style="118" customWidth="1"/>
    <col min="3" max="3" width="98.28515625" style="118" customWidth="1"/>
    <col min="4" max="4" width="14.42578125" style="118" customWidth="1"/>
    <col min="5" max="5" width="36.5703125" style="118" customWidth="1"/>
    <col min="6" max="6" width="20" style="118" customWidth="1"/>
    <col min="7" max="7" width="25.5703125" style="118" customWidth="1"/>
    <col min="8" max="8" width="16.42578125" style="118" customWidth="1"/>
    <col min="9" max="16384" width="9.140625" style="118"/>
  </cols>
  <sheetData>
    <row r="1" spans="1:29" s="14" customFormat="1" ht="18.75" customHeight="1" x14ac:dyDescent="0.2">
      <c r="C1" s="21" t="s">
        <v>66</v>
      </c>
    </row>
    <row r="2" spans="1:29" s="14" customFormat="1" ht="18.75" customHeight="1" x14ac:dyDescent="0.3">
      <c r="C2" s="12" t="s">
        <v>8</v>
      </c>
    </row>
    <row r="3" spans="1:29" s="14" customFormat="1" ht="18.75" x14ac:dyDescent="0.3">
      <c r="A3" s="106"/>
      <c r="C3" s="12" t="s">
        <v>65</v>
      </c>
    </row>
    <row r="4" spans="1:29" s="14" customFormat="1" ht="18.75" x14ac:dyDescent="0.3">
      <c r="A4" s="106"/>
      <c r="C4" s="12"/>
    </row>
    <row r="5" spans="1:29" s="14" customFormat="1" ht="15.75" x14ac:dyDescent="0.2">
      <c r="A5" s="302" t="str">
        <f>'1. паспорт местоположение'!A5:C5</f>
        <v>Год раскрытия информации: 2024  год</v>
      </c>
      <c r="B5" s="302"/>
      <c r="C5" s="302"/>
      <c r="D5" s="86"/>
      <c r="E5" s="86"/>
      <c r="F5" s="86"/>
      <c r="G5" s="86"/>
      <c r="H5" s="86"/>
      <c r="I5" s="86"/>
      <c r="J5" s="86"/>
      <c r="K5" s="86"/>
      <c r="L5" s="86"/>
      <c r="M5" s="86"/>
      <c r="N5" s="86"/>
      <c r="O5" s="86"/>
      <c r="P5" s="86"/>
      <c r="Q5" s="86"/>
      <c r="R5" s="86"/>
      <c r="S5" s="86"/>
      <c r="T5" s="86"/>
      <c r="U5" s="86"/>
      <c r="V5" s="86"/>
      <c r="W5" s="86"/>
      <c r="X5" s="86"/>
      <c r="Y5" s="86"/>
      <c r="Z5" s="86"/>
      <c r="AA5" s="86"/>
      <c r="AB5" s="86"/>
      <c r="AC5" s="86"/>
    </row>
    <row r="6" spans="1:29" s="14" customFormat="1" ht="18.75" x14ac:dyDescent="0.3">
      <c r="A6" s="106"/>
      <c r="G6" s="12"/>
    </row>
    <row r="7" spans="1:29" s="14" customFormat="1" ht="18.75" x14ac:dyDescent="0.2">
      <c r="A7" s="311" t="s">
        <v>7</v>
      </c>
      <c r="B7" s="311"/>
      <c r="C7" s="311"/>
      <c r="D7" s="108"/>
      <c r="E7" s="108"/>
      <c r="F7" s="108"/>
      <c r="G7" s="108"/>
      <c r="H7" s="108"/>
      <c r="I7" s="108"/>
      <c r="J7" s="108"/>
      <c r="K7" s="108"/>
      <c r="L7" s="108"/>
      <c r="M7" s="108"/>
      <c r="N7" s="108"/>
      <c r="O7" s="108"/>
      <c r="P7" s="108"/>
      <c r="Q7" s="108"/>
      <c r="R7" s="108"/>
      <c r="S7" s="108"/>
      <c r="T7" s="108"/>
      <c r="U7" s="108"/>
    </row>
    <row r="8" spans="1:29" s="14" customFormat="1" ht="18.75" x14ac:dyDescent="0.2">
      <c r="A8" s="311"/>
      <c r="B8" s="311"/>
      <c r="C8" s="311"/>
      <c r="D8" s="119"/>
      <c r="E8" s="119"/>
      <c r="F8" s="119"/>
      <c r="G8" s="119"/>
      <c r="H8" s="108"/>
      <c r="I8" s="108"/>
      <c r="J8" s="108"/>
      <c r="K8" s="108"/>
      <c r="L8" s="108"/>
      <c r="M8" s="108"/>
      <c r="N8" s="108"/>
      <c r="O8" s="108"/>
      <c r="P8" s="108"/>
      <c r="Q8" s="108"/>
      <c r="R8" s="108"/>
      <c r="S8" s="108"/>
      <c r="T8" s="108"/>
      <c r="U8" s="108"/>
    </row>
    <row r="9" spans="1:29" s="14" customFormat="1" ht="18.75" x14ac:dyDescent="0.2">
      <c r="A9" s="309" t="str">
        <f>'1. паспорт местоположение'!A9:C9</f>
        <v xml:space="preserve">Акционерное общество "Западная энергетическая компания" </v>
      </c>
      <c r="B9" s="309"/>
      <c r="C9" s="309"/>
      <c r="D9" s="110"/>
      <c r="E9" s="110"/>
      <c r="F9" s="110"/>
      <c r="G9" s="110"/>
      <c r="H9" s="108"/>
      <c r="I9" s="108"/>
      <c r="J9" s="108"/>
      <c r="K9" s="108"/>
      <c r="L9" s="108"/>
      <c r="M9" s="108"/>
      <c r="N9" s="108"/>
      <c r="O9" s="108"/>
      <c r="P9" s="108"/>
      <c r="Q9" s="108"/>
      <c r="R9" s="108"/>
      <c r="S9" s="108"/>
      <c r="T9" s="108"/>
      <c r="U9" s="108"/>
    </row>
    <row r="10" spans="1:29" s="14" customFormat="1" ht="18.75" x14ac:dyDescent="0.2">
      <c r="A10" s="315" t="s">
        <v>6</v>
      </c>
      <c r="B10" s="315"/>
      <c r="C10" s="315"/>
      <c r="D10" s="111"/>
      <c r="E10" s="111"/>
      <c r="F10" s="111"/>
      <c r="G10" s="111"/>
      <c r="H10" s="108"/>
      <c r="I10" s="108"/>
      <c r="J10" s="108"/>
      <c r="K10" s="108"/>
      <c r="L10" s="108"/>
      <c r="M10" s="108"/>
      <c r="N10" s="108"/>
      <c r="O10" s="108"/>
      <c r="P10" s="108"/>
      <c r="Q10" s="108"/>
      <c r="R10" s="108"/>
      <c r="S10" s="108"/>
      <c r="T10" s="108"/>
      <c r="U10" s="108"/>
    </row>
    <row r="11" spans="1:29" s="14" customFormat="1" ht="18.75" x14ac:dyDescent="0.2">
      <c r="A11" s="311"/>
      <c r="B11" s="311"/>
      <c r="C11" s="311"/>
      <c r="D11" s="119"/>
      <c r="E11" s="119"/>
      <c r="F11" s="119"/>
      <c r="G11" s="119"/>
      <c r="H11" s="108"/>
      <c r="I11" s="108"/>
      <c r="J11" s="108"/>
      <c r="K11" s="108"/>
      <c r="L11" s="108"/>
      <c r="M11" s="108"/>
      <c r="N11" s="108"/>
      <c r="O11" s="108"/>
      <c r="P11" s="108"/>
      <c r="Q11" s="108"/>
      <c r="R11" s="108"/>
      <c r="S11" s="108"/>
      <c r="T11" s="108"/>
      <c r="U11" s="108"/>
    </row>
    <row r="12" spans="1:29" s="14" customFormat="1" ht="18.75" x14ac:dyDescent="0.2">
      <c r="A12" s="309" t="str">
        <f>'1. паспорт местоположение'!A12:C12</f>
        <v>J 19-09</v>
      </c>
      <c r="B12" s="309"/>
      <c r="C12" s="309"/>
      <c r="D12" s="110"/>
      <c r="E12" s="110"/>
      <c r="F12" s="110"/>
      <c r="G12" s="110"/>
      <c r="H12" s="108"/>
      <c r="I12" s="108"/>
      <c r="J12" s="108"/>
      <c r="K12" s="108"/>
      <c r="L12" s="108"/>
      <c r="M12" s="108"/>
      <c r="N12" s="108"/>
      <c r="O12" s="108"/>
      <c r="P12" s="108"/>
      <c r="Q12" s="108"/>
      <c r="R12" s="108"/>
      <c r="S12" s="108"/>
      <c r="T12" s="108"/>
      <c r="U12" s="108"/>
    </row>
    <row r="13" spans="1:29" s="14" customFormat="1" ht="18.75" x14ac:dyDescent="0.2">
      <c r="A13" s="315" t="s">
        <v>5</v>
      </c>
      <c r="B13" s="315"/>
      <c r="C13" s="315"/>
      <c r="D13" s="111"/>
      <c r="E13" s="111"/>
      <c r="F13" s="111"/>
      <c r="G13" s="111"/>
      <c r="H13" s="108"/>
      <c r="I13" s="108"/>
      <c r="J13" s="108"/>
      <c r="K13" s="108"/>
      <c r="L13" s="108"/>
      <c r="M13" s="108"/>
      <c r="N13" s="108"/>
      <c r="O13" s="108"/>
      <c r="P13" s="108"/>
      <c r="Q13" s="108"/>
      <c r="R13" s="108"/>
      <c r="S13" s="108"/>
      <c r="T13" s="108"/>
      <c r="U13" s="108"/>
    </row>
    <row r="14" spans="1:29" s="14" customFormat="1" ht="15.75" customHeight="1" x14ac:dyDescent="0.2">
      <c r="A14" s="316"/>
      <c r="B14" s="316"/>
      <c r="C14" s="316"/>
      <c r="D14" s="109"/>
      <c r="E14" s="109"/>
      <c r="F14" s="109"/>
      <c r="G14" s="109"/>
      <c r="H14" s="109"/>
      <c r="I14" s="109"/>
      <c r="J14" s="109"/>
      <c r="K14" s="109"/>
      <c r="L14" s="109"/>
      <c r="M14" s="109"/>
      <c r="N14" s="109"/>
      <c r="O14" s="109"/>
      <c r="P14" s="109"/>
      <c r="Q14" s="109"/>
      <c r="R14" s="109"/>
      <c r="S14" s="109"/>
      <c r="T14" s="109"/>
      <c r="U14" s="109"/>
    </row>
    <row r="15" spans="1:29" s="107" customFormat="1" ht="45.75" customHeight="1" x14ac:dyDescent="0.2">
      <c r="A15" s="335" t="str">
        <f>'1. паспорт местоположение'!A15:C15</f>
        <v>Реконструкция ТП 15/6/0,4кВ  ТП-5 с заменой ячеек КРУ 15кВ с  маслянными выключателями SCI-20 ячейки  на КРУ-15кВ с вакуумными выключателями 9 шт., заменой ячеек КРУ 6 кВ с воздушными выключателями нагрузки на КРУ  с элегазовыми выключателями нагрузки;  с установкой 2-го трансформатора 15 кВ мощностью 0,8 МВА,с приростом мощности на 0,8 МВА; заменой трансформатора 6 кВ мощностью 0,18 МВА  на 0,25 МВА, с приростом мощности 0,07 МВА, в п.Северный, Багратионовского р-на</v>
      </c>
      <c r="B15" s="335"/>
      <c r="C15" s="335"/>
      <c r="D15" s="110"/>
      <c r="E15" s="110"/>
      <c r="F15" s="110"/>
      <c r="G15" s="110"/>
      <c r="H15" s="110"/>
      <c r="I15" s="110"/>
      <c r="J15" s="110"/>
      <c r="K15" s="110"/>
      <c r="L15" s="110"/>
      <c r="M15" s="110"/>
      <c r="N15" s="110"/>
      <c r="O15" s="110"/>
      <c r="P15" s="110"/>
      <c r="Q15" s="110"/>
      <c r="R15" s="110"/>
      <c r="S15" s="110"/>
      <c r="T15" s="110"/>
      <c r="U15" s="110"/>
    </row>
    <row r="16" spans="1:29" s="107" customFormat="1" ht="15" customHeight="1" x14ac:dyDescent="0.2">
      <c r="A16" s="315" t="s">
        <v>4</v>
      </c>
      <c r="B16" s="315"/>
      <c r="C16" s="315"/>
      <c r="D16" s="111"/>
      <c r="E16" s="111"/>
      <c r="F16" s="111"/>
      <c r="G16" s="111"/>
      <c r="H16" s="111"/>
      <c r="I16" s="111"/>
      <c r="J16" s="111"/>
      <c r="K16" s="111"/>
      <c r="L16" s="111"/>
      <c r="M16" s="111"/>
      <c r="N16" s="111"/>
      <c r="O16" s="111"/>
      <c r="P16" s="111"/>
      <c r="Q16" s="111"/>
      <c r="R16" s="111"/>
      <c r="S16" s="111"/>
      <c r="T16" s="111"/>
      <c r="U16" s="111"/>
    </row>
    <row r="17" spans="1:21" s="107" customFormat="1" ht="15" customHeight="1" x14ac:dyDescent="0.2">
      <c r="A17" s="316"/>
      <c r="B17" s="316"/>
      <c r="C17" s="316"/>
      <c r="D17" s="109"/>
      <c r="E17" s="109"/>
      <c r="F17" s="109"/>
      <c r="G17" s="109"/>
      <c r="H17" s="109"/>
      <c r="I17" s="109"/>
      <c r="J17" s="109"/>
      <c r="K17" s="109"/>
      <c r="L17" s="109"/>
      <c r="M17" s="109"/>
      <c r="N17" s="109"/>
      <c r="O17" s="109"/>
      <c r="P17" s="109"/>
      <c r="Q17" s="109"/>
      <c r="R17" s="109"/>
    </row>
    <row r="18" spans="1:21" s="107" customFormat="1" ht="27.75" customHeight="1" x14ac:dyDescent="0.2">
      <c r="A18" s="317" t="s">
        <v>382</v>
      </c>
      <c r="B18" s="317"/>
      <c r="C18" s="317"/>
      <c r="D18" s="112"/>
      <c r="E18" s="112"/>
      <c r="F18" s="112"/>
      <c r="G18" s="112"/>
      <c r="H18" s="112"/>
      <c r="I18" s="112"/>
      <c r="J18" s="112"/>
      <c r="K18" s="112"/>
      <c r="L18" s="112"/>
      <c r="M18" s="112"/>
      <c r="N18" s="112"/>
      <c r="O18" s="112"/>
      <c r="P18" s="112"/>
      <c r="Q18" s="112"/>
      <c r="R18" s="112"/>
      <c r="S18" s="112"/>
      <c r="T18" s="112"/>
      <c r="U18" s="112"/>
    </row>
    <row r="19" spans="1:21" s="107" customFormat="1" ht="15" customHeight="1" x14ac:dyDescent="0.2">
      <c r="A19" s="111"/>
      <c r="B19" s="111"/>
      <c r="C19" s="111"/>
      <c r="D19" s="111"/>
      <c r="E19" s="111"/>
      <c r="F19" s="111"/>
      <c r="G19" s="111"/>
      <c r="H19" s="109"/>
      <c r="I19" s="109"/>
      <c r="J19" s="109"/>
      <c r="K19" s="109"/>
      <c r="L19" s="109"/>
      <c r="M19" s="109"/>
      <c r="N19" s="109"/>
      <c r="O19" s="109"/>
      <c r="P19" s="109"/>
      <c r="Q19" s="109"/>
      <c r="R19" s="109"/>
    </row>
    <row r="20" spans="1:21" s="107" customFormat="1" ht="39.75" customHeight="1" x14ac:dyDescent="0.2">
      <c r="A20" s="120" t="s">
        <v>3</v>
      </c>
      <c r="B20" s="116" t="s">
        <v>64</v>
      </c>
      <c r="C20" s="117" t="s">
        <v>63</v>
      </c>
      <c r="D20" s="111"/>
      <c r="E20" s="111"/>
      <c r="F20" s="111"/>
      <c r="G20" s="111"/>
      <c r="H20" s="109"/>
      <c r="I20" s="109"/>
      <c r="J20" s="109"/>
      <c r="K20" s="109"/>
      <c r="L20" s="109"/>
      <c r="M20" s="109"/>
      <c r="N20" s="109"/>
      <c r="O20" s="109"/>
      <c r="P20" s="109"/>
      <c r="Q20" s="109"/>
      <c r="R20" s="109"/>
    </row>
    <row r="21" spans="1:21" s="107" customFormat="1" ht="16.5" customHeight="1" x14ac:dyDescent="0.2">
      <c r="A21" s="117">
        <v>1</v>
      </c>
      <c r="B21" s="116">
        <v>2</v>
      </c>
      <c r="C21" s="117">
        <v>3</v>
      </c>
      <c r="D21" s="111"/>
      <c r="E21" s="111"/>
      <c r="F21" s="111"/>
      <c r="G21" s="111"/>
      <c r="H21" s="109"/>
      <c r="I21" s="109"/>
      <c r="J21" s="109"/>
      <c r="K21" s="109"/>
      <c r="L21" s="109"/>
      <c r="M21" s="109"/>
      <c r="N21" s="109"/>
      <c r="O21" s="109"/>
      <c r="P21" s="109"/>
      <c r="Q21" s="109"/>
      <c r="R21" s="109"/>
    </row>
    <row r="22" spans="1:21" s="107" customFormat="1" ht="41.25" customHeight="1" x14ac:dyDescent="0.2">
      <c r="A22" s="121" t="s">
        <v>62</v>
      </c>
      <c r="B22" s="17" t="s">
        <v>395</v>
      </c>
      <c r="C22" s="123" t="s">
        <v>605</v>
      </c>
      <c r="D22" s="111"/>
      <c r="E22" s="111"/>
      <c r="F22" s="109"/>
      <c r="G22" s="109"/>
      <c r="H22" s="109"/>
      <c r="I22" s="109"/>
      <c r="J22" s="109"/>
      <c r="K22" s="109"/>
      <c r="L22" s="109"/>
      <c r="M22" s="109"/>
      <c r="N22" s="109"/>
      <c r="O22" s="109"/>
      <c r="P22" s="109"/>
    </row>
    <row r="23" spans="1:21" ht="63" customHeight="1" x14ac:dyDescent="0.25">
      <c r="A23" s="121" t="s">
        <v>61</v>
      </c>
      <c r="B23" s="122" t="s">
        <v>58</v>
      </c>
      <c r="C23" s="123" t="s">
        <v>611</v>
      </c>
    </row>
    <row r="24" spans="1:21" ht="63" customHeight="1" x14ac:dyDescent="0.25">
      <c r="A24" s="121" t="s">
        <v>60</v>
      </c>
      <c r="B24" s="122" t="s">
        <v>414</v>
      </c>
      <c r="C24" s="123" t="s">
        <v>612</v>
      </c>
    </row>
    <row r="25" spans="1:21" ht="63" customHeight="1" x14ac:dyDescent="0.25">
      <c r="A25" s="121" t="s">
        <v>59</v>
      </c>
      <c r="B25" s="122" t="s">
        <v>415</v>
      </c>
      <c r="C25" s="200" t="s">
        <v>587</v>
      </c>
    </row>
    <row r="26" spans="1:21" ht="42.75" customHeight="1" x14ac:dyDescent="0.25">
      <c r="A26" s="121" t="s">
        <v>57</v>
      </c>
      <c r="B26" s="122" t="s">
        <v>208</v>
      </c>
      <c r="C26" s="120" t="s">
        <v>437</v>
      </c>
    </row>
    <row r="27" spans="1:21" ht="31.5" x14ac:dyDescent="0.25">
      <c r="A27" s="121" t="s">
        <v>56</v>
      </c>
      <c r="B27" s="122" t="s">
        <v>396</v>
      </c>
      <c r="C27" s="120" t="s">
        <v>601</v>
      </c>
    </row>
    <row r="28" spans="1:21" ht="42.75" customHeight="1" x14ac:dyDescent="0.25">
      <c r="A28" s="121" t="s">
        <v>54</v>
      </c>
      <c r="B28" s="122" t="s">
        <v>55</v>
      </c>
      <c r="C28" s="123">
        <v>2023</v>
      </c>
    </row>
    <row r="29" spans="1:21" ht="42.75" customHeight="1" x14ac:dyDescent="0.25">
      <c r="A29" s="121" t="s">
        <v>52</v>
      </c>
      <c r="B29" s="120" t="s">
        <v>53</v>
      </c>
      <c r="C29" s="123">
        <v>2024</v>
      </c>
    </row>
    <row r="30" spans="1:21" ht="42.75" customHeight="1" x14ac:dyDescent="0.25">
      <c r="A30" s="121" t="s">
        <v>70</v>
      </c>
      <c r="B30" s="120" t="s">
        <v>51</v>
      </c>
      <c r="C30" s="120" t="s">
        <v>557</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J1" zoomScale="90" zoomScaleNormal="80" zoomScaleSheetLayoutView="90" workbookViewId="0">
      <selection activeCell="A12" sqref="A12:Z12"/>
    </sheetView>
  </sheetViews>
  <sheetFormatPr defaultColWidth="9.140625" defaultRowHeight="15" x14ac:dyDescent="0.25"/>
  <cols>
    <col min="1" max="1" width="17.7109375" style="124" customWidth="1"/>
    <col min="2" max="2" width="30.140625" style="124" customWidth="1"/>
    <col min="3" max="3" width="12.28515625" style="124" customWidth="1"/>
    <col min="4" max="5" width="15" style="124" customWidth="1"/>
    <col min="6" max="7" width="13.28515625" style="124" customWidth="1"/>
    <col min="8" max="8" width="12.28515625" style="124" customWidth="1"/>
    <col min="9" max="9" width="17.85546875" style="124" customWidth="1"/>
    <col min="10" max="10" width="16.7109375" style="124" customWidth="1"/>
    <col min="11" max="11" width="24.5703125" style="124" customWidth="1"/>
    <col min="12" max="12" width="30.85546875" style="124" customWidth="1"/>
    <col min="13" max="13" width="27.140625" style="124" customWidth="1"/>
    <col min="14" max="14" width="32.42578125" style="124" customWidth="1"/>
    <col min="15" max="15" width="13.28515625" style="124" customWidth="1"/>
    <col min="16" max="16" width="8.7109375" style="124" customWidth="1"/>
    <col min="17" max="17" width="12.7109375" style="124" customWidth="1"/>
    <col min="18" max="18" width="9.140625" style="124"/>
    <col min="19" max="19" width="17" style="124" customWidth="1"/>
    <col min="20" max="21" width="12" style="124" customWidth="1"/>
    <col min="22" max="22" width="11" style="124" customWidth="1"/>
    <col min="23" max="25" width="17.7109375" style="124" customWidth="1"/>
    <col min="26" max="26" width="46.5703125" style="124" customWidth="1"/>
    <col min="27" max="28" width="12.28515625" style="124" customWidth="1"/>
    <col min="29" max="16384" width="9.140625" style="124"/>
  </cols>
  <sheetData>
    <row r="1" spans="1:28" ht="18.75" x14ac:dyDescent="0.25">
      <c r="Z1" s="21" t="s">
        <v>66</v>
      </c>
    </row>
    <row r="2" spans="1:28" ht="18.75" x14ac:dyDescent="0.3">
      <c r="Z2" s="12" t="s">
        <v>8</v>
      </c>
    </row>
    <row r="3" spans="1:28" ht="18.75" x14ac:dyDescent="0.3">
      <c r="Z3" s="12" t="s">
        <v>65</v>
      </c>
    </row>
    <row r="4" spans="1:28" ht="18.75" customHeight="1" x14ac:dyDescent="0.25">
      <c r="A4" s="302" t="str">
        <f>'1. паспорт местоположение'!A5:C5</f>
        <v>Год раскрытия информации: 2024  год</v>
      </c>
      <c r="B4" s="302"/>
      <c r="C4" s="302"/>
      <c r="D4" s="302"/>
      <c r="E4" s="302"/>
      <c r="F4" s="302"/>
      <c r="G4" s="302"/>
      <c r="H4" s="302"/>
      <c r="I4" s="302"/>
      <c r="J4" s="302"/>
      <c r="K4" s="302"/>
      <c r="L4" s="302"/>
      <c r="M4" s="302"/>
      <c r="N4" s="302"/>
      <c r="O4" s="302"/>
      <c r="P4" s="302"/>
      <c r="Q4" s="302"/>
      <c r="R4" s="302"/>
      <c r="S4" s="302"/>
      <c r="T4" s="302"/>
      <c r="U4" s="302"/>
      <c r="V4" s="302"/>
      <c r="W4" s="302"/>
      <c r="X4" s="302"/>
      <c r="Y4" s="302"/>
      <c r="Z4" s="302"/>
    </row>
    <row r="6" spans="1:28" ht="18.75" x14ac:dyDescent="0.25">
      <c r="A6" s="311" t="s">
        <v>7</v>
      </c>
      <c r="B6" s="311"/>
      <c r="C6" s="311"/>
      <c r="D6" s="311"/>
      <c r="E6" s="311"/>
      <c r="F6" s="311"/>
      <c r="G6" s="311"/>
      <c r="H6" s="311"/>
      <c r="I6" s="311"/>
      <c r="J6" s="311"/>
      <c r="K6" s="311"/>
      <c r="L6" s="311"/>
      <c r="M6" s="311"/>
      <c r="N6" s="311"/>
      <c r="O6" s="311"/>
      <c r="P6" s="311"/>
      <c r="Q6" s="311"/>
      <c r="R6" s="311"/>
      <c r="S6" s="311"/>
      <c r="T6" s="311"/>
      <c r="U6" s="311"/>
      <c r="V6" s="311"/>
      <c r="W6" s="311"/>
      <c r="X6" s="311"/>
      <c r="Y6" s="311"/>
      <c r="Z6" s="311"/>
      <c r="AA6" s="108"/>
      <c r="AB6" s="108"/>
    </row>
    <row r="7" spans="1:28" ht="18.75" x14ac:dyDescent="0.25">
      <c r="A7" s="311"/>
      <c r="B7" s="311"/>
      <c r="C7" s="311"/>
      <c r="D7" s="311"/>
      <c r="E7" s="311"/>
      <c r="F7" s="311"/>
      <c r="G7" s="311"/>
      <c r="H7" s="311"/>
      <c r="I7" s="311"/>
      <c r="J7" s="311"/>
      <c r="K7" s="311"/>
      <c r="L7" s="311"/>
      <c r="M7" s="311"/>
      <c r="N7" s="311"/>
      <c r="O7" s="311"/>
      <c r="P7" s="311"/>
      <c r="Q7" s="311"/>
      <c r="R7" s="311"/>
      <c r="S7" s="311"/>
      <c r="T7" s="311"/>
      <c r="U7" s="311"/>
      <c r="V7" s="311"/>
      <c r="W7" s="311"/>
      <c r="X7" s="311"/>
      <c r="Y7" s="311"/>
      <c r="Z7" s="311"/>
      <c r="AA7" s="108"/>
      <c r="AB7" s="108"/>
    </row>
    <row r="8" spans="1:28" ht="15.75" x14ac:dyDescent="0.25">
      <c r="A8" s="309" t="str">
        <f>'1. паспорт местоположение'!A9:C9</f>
        <v xml:space="preserve">Акционерное общество "Западная энергетическая компания" </v>
      </c>
      <c r="B8" s="309"/>
      <c r="C8" s="309"/>
      <c r="D8" s="309"/>
      <c r="E8" s="309"/>
      <c r="F8" s="309"/>
      <c r="G8" s="309"/>
      <c r="H8" s="309"/>
      <c r="I8" s="309"/>
      <c r="J8" s="309"/>
      <c r="K8" s="309"/>
      <c r="L8" s="309"/>
      <c r="M8" s="309"/>
      <c r="N8" s="309"/>
      <c r="O8" s="309"/>
      <c r="P8" s="309"/>
      <c r="Q8" s="309"/>
      <c r="R8" s="309"/>
      <c r="S8" s="309"/>
      <c r="T8" s="309"/>
      <c r="U8" s="309"/>
      <c r="V8" s="309"/>
      <c r="W8" s="309"/>
      <c r="X8" s="309"/>
      <c r="Y8" s="309"/>
      <c r="Z8" s="309"/>
      <c r="AA8" s="110"/>
      <c r="AB8" s="110"/>
    </row>
    <row r="9" spans="1:28" ht="15.75" x14ac:dyDescent="0.25">
      <c r="A9" s="315" t="s">
        <v>6</v>
      </c>
      <c r="B9" s="315"/>
      <c r="C9" s="315"/>
      <c r="D9" s="315"/>
      <c r="E9" s="315"/>
      <c r="F9" s="315"/>
      <c r="G9" s="315"/>
      <c r="H9" s="315"/>
      <c r="I9" s="315"/>
      <c r="J9" s="315"/>
      <c r="K9" s="315"/>
      <c r="L9" s="315"/>
      <c r="M9" s="315"/>
      <c r="N9" s="315"/>
      <c r="O9" s="315"/>
      <c r="P9" s="315"/>
      <c r="Q9" s="315"/>
      <c r="R9" s="315"/>
      <c r="S9" s="315"/>
      <c r="T9" s="315"/>
      <c r="U9" s="315"/>
      <c r="V9" s="315"/>
      <c r="W9" s="315"/>
      <c r="X9" s="315"/>
      <c r="Y9" s="315"/>
      <c r="Z9" s="315"/>
      <c r="AA9" s="111"/>
      <c r="AB9" s="111"/>
    </row>
    <row r="10" spans="1:28" ht="18.75" x14ac:dyDescent="0.25">
      <c r="A10" s="311"/>
      <c r="B10" s="311"/>
      <c r="C10" s="311"/>
      <c r="D10" s="311"/>
      <c r="E10" s="311"/>
      <c r="F10" s="311"/>
      <c r="G10" s="311"/>
      <c r="H10" s="311"/>
      <c r="I10" s="311"/>
      <c r="J10" s="311"/>
      <c r="K10" s="311"/>
      <c r="L10" s="311"/>
      <c r="M10" s="311"/>
      <c r="N10" s="311"/>
      <c r="O10" s="311"/>
      <c r="P10" s="311"/>
      <c r="Q10" s="311"/>
      <c r="R10" s="311"/>
      <c r="S10" s="311"/>
      <c r="T10" s="311"/>
      <c r="U10" s="311"/>
      <c r="V10" s="311"/>
      <c r="W10" s="311"/>
      <c r="X10" s="311"/>
      <c r="Y10" s="311"/>
      <c r="Z10" s="311"/>
      <c r="AA10" s="108"/>
      <c r="AB10" s="108"/>
    </row>
    <row r="11" spans="1:28" ht="15.75" x14ac:dyDescent="0.25">
      <c r="A11" s="309" t="str">
        <f>'1. паспорт местоположение'!A12:C12</f>
        <v>J 19-09</v>
      </c>
      <c r="B11" s="309"/>
      <c r="C11" s="309"/>
      <c r="D11" s="309"/>
      <c r="E11" s="309"/>
      <c r="F11" s="309"/>
      <c r="G11" s="309"/>
      <c r="H11" s="309"/>
      <c r="I11" s="309"/>
      <c r="J11" s="309"/>
      <c r="K11" s="309"/>
      <c r="L11" s="309"/>
      <c r="M11" s="309"/>
      <c r="N11" s="309"/>
      <c r="O11" s="309"/>
      <c r="P11" s="309"/>
      <c r="Q11" s="309"/>
      <c r="R11" s="309"/>
      <c r="S11" s="309"/>
      <c r="T11" s="309"/>
      <c r="U11" s="309"/>
      <c r="V11" s="309"/>
      <c r="W11" s="309"/>
      <c r="X11" s="309"/>
      <c r="Y11" s="309"/>
      <c r="Z11" s="309"/>
      <c r="AA11" s="110"/>
      <c r="AB11" s="110"/>
    </row>
    <row r="12" spans="1:28" ht="15.75" x14ac:dyDescent="0.25">
      <c r="A12" s="315" t="s">
        <v>5</v>
      </c>
      <c r="B12" s="315"/>
      <c r="C12" s="315"/>
      <c r="D12" s="315"/>
      <c r="E12" s="315"/>
      <c r="F12" s="315"/>
      <c r="G12" s="315"/>
      <c r="H12" s="315"/>
      <c r="I12" s="315"/>
      <c r="J12" s="315"/>
      <c r="K12" s="315"/>
      <c r="L12" s="315"/>
      <c r="M12" s="315"/>
      <c r="N12" s="315"/>
      <c r="O12" s="315"/>
      <c r="P12" s="315"/>
      <c r="Q12" s="315"/>
      <c r="R12" s="315"/>
      <c r="S12" s="315"/>
      <c r="T12" s="315"/>
      <c r="U12" s="315"/>
      <c r="V12" s="315"/>
      <c r="W12" s="315"/>
      <c r="X12" s="315"/>
      <c r="Y12" s="315"/>
      <c r="Z12" s="315"/>
      <c r="AA12" s="111"/>
      <c r="AB12" s="111"/>
    </row>
    <row r="13" spans="1:28" ht="18.75" x14ac:dyDescent="0.25">
      <c r="A13" s="316"/>
      <c r="B13" s="316"/>
      <c r="C13" s="316"/>
      <c r="D13" s="316"/>
      <c r="E13" s="316"/>
      <c r="F13" s="316"/>
      <c r="G13" s="316"/>
      <c r="H13" s="316"/>
      <c r="I13" s="316"/>
      <c r="J13" s="316"/>
      <c r="K13" s="316"/>
      <c r="L13" s="316"/>
      <c r="M13" s="316"/>
      <c r="N13" s="316"/>
      <c r="O13" s="316"/>
      <c r="P13" s="316"/>
      <c r="Q13" s="316"/>
      <c r="R13" s="316"/>
      <c r="S13" s="316"/>
      <c r="T13" s="316"/>
      <c r="U13" s="316"/>
      <c r="V13" s="316"/>
      <c r="W13" s="316"/>
      <c r="X13" s="316"/>
      <c r="Y13" s="316"/>
      <c r="Z13" s="316"/>
      <c r="AA13" s="125"/>
      <c r="AB13" s="125"/>
    </row>
    <row r="14" spans="1:28" ht="15.75" x14ac:dyDescent="0.25">
      <c r="A14" s="309" t="str">
        <f>'1. паспорт местоположение'!A15:C15</f>
        <v>Реконструкция ТП 15/6/0,4кВ  ТП-5 с заменой ячеек КРУ 15кВ с  маслянными выключателями SCI-20 ячейки  на КРУ-15кВ с вакуумными выключателями 9 шт., заменой ячеек КРУ 6 кВ с воздушными выключателями нагрузки на КРУ  с элегазовыми выключателями нагрузки;  с установкой 2-го трансформатора 15 кВ мощностью 0,8 МВА,с приростом мощности на 0,8 МВА; заменой трансформатора 6 кВ мощностью 0,18 МВА  на 0,25 МВА, с приростом мощности 0,07 МВА, в п.Северный, Багратионовского р-на</v>
      </c>
      <c r="B14" s="309"/>
      <c r="C14" s="309"/>
      <c r="D14" s="309"/>
      <c r="E14" s="309"/>
      <c r="F14" s="309"/>
      <c r="G14" s="309"/>
      <c r="H14" s="309"/>
      <c r="I14" s="309"/>
      <c r="J14" s="309"/>
      <c r="K14" s="309"/>
      <c r="L14" s="309"/>
      <c r="M14" s="309"/>
      <c r="N14" s="309"/>
      <c r="O14" s="309"/>
      <c r="P14" s="309"/>
      <c r="Q14" s="309"/>
      <c r="R14" s="309"/>
      <c r="S14" s="309"/>
      <c r="T14" s="309"/>
      <c r="U14" s="309"/>
      <c r="V14" s="309"/>
      <c r="W14" s="309"/>
      <c r="X14" s="309"/>
      <c r="Y14" s="309"/>
      <c r="Z14" s="309"/>
      <c r="AA14" s="110"/>
      <c r="AB14" s="110"/>
    </row>
    <row r="15" spans="1:28" ht="15.75" x14ac:dyDescent="0.25">
      <c r="A15" s="315" t="s">
        <v>4</v>
      </c>
      <c r="B15" s="315"/>
      <c r="C15" s="315"/>
      <c r="D15" s="315"/>
      <c r="E15" s="315"/>
      <c r="F15" s="315"/>
      <c r="G15" s="315"/>
      <c r="H15" s="315"/>
      <c r="I15" s="315"/>
      <c r="J15" s="315"/>
      <c r="K15" s="315"/>
      <c r="L15" s="315"/>
      <c r="M15" s="315"/>
      <c r="N15" s="315"/>
      <c r="O15" s="315"/>
      <c r="P15" s="315"/>
      <c r="Q15" s="315"/>
      <c r="R15" s="315"/>
      <c r="S15" s="315"/>
      <c r="T15" s="315"/>
      <c r="U15" s="315"/>
      <c r="V15" s="315"/>
      <c r="W15" s="315"/>
      <c r="X15" s="315"/>
      <c r="Y15" s="315"/>
      <c r="Z15" s="315"/>
      <c r="AA15" s="111"/>
      <c r="AB15" s="111"/>
    </row>
    <row r="16" spans="1:28" x14ac:dyDescent="0.25">
      <c r="A16" s="336"/>
      <c r="B16" s="336"/>
      <c r="C16" s="336"/>
      <c r="D16" s="336"/>
      <c r="E16" s="336"/>
      <c r="F16" s="336"/>
      <c r="G16" s="336"/>
      <c r="H16" s="336"/>
      <c r="I16" s="336"/>
      <c r="J16" s="336"/>
      <c r="K16" s="336"/>
      <c r="L16" s="336"/>
      <c r="M16" s="336"/>
      <c r="N16" s="336"/>
      <c r="O16" s="336"/>
      <c r="P16" s="336"/>
      <c r="Q16" s="336"/>
      <c r="R16" s="336"/>
      <c r="S16" s="336"/>
      <c r="T16" s="336"/>
      <c r="U16" s="336"/>
      <c r="V16" s="336"/>
      <c r="W16" s="336"/>
      <c r="X16" s="336"/>
      <c r="Y16" s="336"/>
      <c r="Z16" s="336"/>
      <c r="AA16" s="126"/>
      <c r="AB16" s="126"/>
    </row>
    <row r="17" spans="1:28" x14ac:dyDescent="0.25">
      <c r="A17" s="336"/>
      <c r="B17" s="336"/>
      <c r="C17" s="336"/>
      <c r="D17" s="336"/>
      <c r="E17" s="336"/>
      <c r="F17" s="336"/>
      <c r="G17" s="336"/>
      <c r="H17" s="336"/>
      <c r="I17" s="336"/>
      <c r="J17" s="336"/>
      <c r="K17" s="336"/>
      <c r="L17" s="336"/>
      <c r="M17" s="336"/>
      <c r="N17" s="336"/>
      <c r="O17" s="336"/>
      <c r="P17" s="336"/>
      <c r="Q17" s="336"/>
      <c r="R17" s="336"/>
      <c r="S17" s="336"/>
      <c r="T17" s="336"/>
      <c r="U17" s="336"/>
      <c r="V17" s="336"/>
      <c r="W17" s="336"/>
      <c r="X17" s="336"/>
      <c r="Y17" s="336"/>
      <c r="Z17" s="336"/>
      <c r="AA17" s="126"/>
      <c r="AB17" s="126"/>
    </row>
    <row r="18" spans="1:28" x14ac:dyDescent="0.25">
      <c r="A18" s="336"/>
      <c r="B18" s="336"/>
      <c r="C18" s="336"/>
      <c r="D18" s="336"/>
      <c r="E18" s="336"/>
      <c r="F18" s="336"/>
      <c r="G18" s="336"/>
      <c r="H18" s="336"/>
      <c r="I18" s="336"/>
      <c r="J18" s="336"/>
      <c r="K18" s="336"/>
      <c r="L18" s="336"/>
      <c r="M18" s="336"/>
      <c r="N18" s="336"/>
      <c r="O18" s="336"/>
      <c r="P18" s="336"/>
      <c r="Q18" s="336"/>
      <c r="R18" s="336"/>
      <c r="S18" s="336"/>
      <c r="T18" s="336"/>
      <c r="U18" s="336"/>
      <c r="V18" s="336"/>
      <c r="W18" s="336"/>
      <c r="X18" s="336"/>
      <c r="Y18" s="336"/>
      <c r="Z18" s="336"/>
      <c r="AA18" s="126"/>
      <c r="AB18" s="126"/>
    </row>
    <row r="19" spans="1:28" x14ac:dyDescent="0.25">
      <c r="A19" s="336"/>
      <c r="B19" s="336"/>
      <c r="C19" s="336"/>
      <c r="D19" s="336"/>
      <c r="E19" s="336"/>
      <c r="F19" s="336"/>
      <c r="G19" s="336"/>
      <c r="H19" s="336"/>
      <c r="I19" s="336"/>
      <c r="J19" s="336"/>
      <c r="K19" s="336"/>
      <c r="L19" s="336"/>
      <c r="M19" s="336"/>
      <c r="N19" s="336"/>
      <c r="O19" s="336"/>
      <c r="P19" s="336"/>
      <c r="Q19" s="336"/>
      <c r="R19" s="336"/>
      <c r="S19" s="336"/>
      <c r="T19" s="336"/>
      <c r="U19" s="336"/>
      <c r="V19" s="336"/>
      <c r="W19" s="336"/>
      <c r="X19" s="336"/>
      <c r="Y19" s="336"/>
      <c r="Z19" s="336"/>
      <c r="AA19" s="126"/>
      <c r="AB19" s="126"/>
    </row>
    <row r="20" spans="1:28" x14ac:dyDescent="0.25">
      <c r="A20" s="336"/>
      <c r="B20" s="336"/>
      <c r="C20" s="336"/>
      <c r="D20" s="336"/>
      <c r="E20" s="336"/>
      <c r="F20" s="336"/>
      <c r="G20" s="336"/>
      <c r="H20" s="336"/>
      <c r="I20" s="336"/>
      <c r="J20" s="336"/>
      <c r="K20" s="336"/>
      <c r="L20" s="336"/>
      <c r="M20" s="336"/>
      <c r="N20" s="336"/>
      <c r="O20" s="336"/>
      <c r="P20" s="336"/>
      <c r="Q20" s="336"/>
      <c r="R20" s="336"/>
      <c r="S20" s="336"/>
      <c r="T20" s="336"/>
      <c r="U20" s="336"/>
      <c r="V20" s="336"/>
      <c r="W20" s="336"/>
      <c r="X20" s="336"/>
      <c r="Y20" s="336"/>
      <c r="Z20" s="336"/>
      <c r="AA20" s="126"/>
      <c r="AB20" s="126"/>
    </row>
    <row r="21" spans="1:28" x14ac:dyDescent="0.25">
      <c r="A21" s="336"/>
      <c r="B21" s="336"/>
      <c r="C21" s="336"/>
      <c r="D21" s="336"/>
      <c r="E21" s="336"/>
      <c r="F21" s="336"/>
      <c r="G21" s="336"/>
      <c r="H21" s="336"/>
      <c r="I21" s="336"/>
      <c r="J21" s="336"/>
      <c r="K21" s="336"/>
      <c r="L21" s="336"/>
      <c r="M21" s="336"/>
      <c r="N21" s="336"/>
      <c r="O21" s="336"/>
      <c r="P21" s="336"/>
      <c r="Q21" s="336"/>
      <c r="R21" s="336"/>
      <c r="S21" s="336"/>
      <c r="T21" s="336"/>
      <c r="U21" s="336"/>
      <c r="V21" s="336"/>
      <c r="W21" s="336"/>
      <c r="X21" s="336"/>
      <c r="Y21" s="336"/>
      <c r="Z21" s="336"/>
      <c r="AA21" s="126"/>
      <c r="AB21" s="126"/>
    </row>
    <row r="22" spans="1:28" x14ac:dyDescent="0.25">
      <c r="A22" s="337" t="s">
        <v>413</v>
      </c>
      <c r="B22" s="337"/>
      <c r="C22" s="337"/>
      <c r="D22" s="337"/>
      <c r="E22" s="337"/>
      <c r="F22" s="337"/>
      <c r="G22" s="337"/>
      <c r="H22" s="337"/>
      <c r="I22" s="337"/>
      <c r="J22" s="337"/>
      <c r="K22" s="337"/>
      <c r="L22" s="337"/>
      <c r="M22" s="337"/>
      <c r="N22" s="337"/>
      <c r="O22" s="337"/>
      <c r="P22" s="337"/>
      <c r="Q22" s="337"/>
      <c r="R22" s="337"/>
      <c r="S22" s="337"/>
      <c r="T22" s="337"/>
      <c r="U22" s="337"/>
      <c r="V22" s="337"/>
      <c r="W22" s="337"/>
      <c r="X22" s="337"/>
      <c r="Y22" s="337"/>
      <c r="Z22" s="337"/>
      <c r="AA22" s="127"/>
      <c r="AB22" s="127"/>
    </row>
    <row r="23" spans="1:28" ht="32.25" customHeight="1" x14ac:dyDescent="0.25">
      <c r="A23" s="339" t="s">
        <v>295</v>
      </c>
      <c r="B23" s="340"/>
      <c r="C23" s="340"/>
      <c r="D23" s="340"/>
      <c r="E23" s="340"/>
      <c r="F23" s="340"/>
      <c r="G23" s="340"/>
      <c r="H23" s="340"/>
      <c r="I23" s="340"/>
      <c r="J23" s="340"/>
      <c r="K23" s="340"/>
      <c r="L23" s="341"/>
      <c r="M23" s="338" t="s">
        <v>296</v>
      </c>
      <c r="N23" s="338"/>
      <c r="O23" s="338"/>
      <c r="P23" s="338"/>
      <c r="Q23" s="338"/>
      <c r="R23" s="338"/>
      <c r="S23" s="338"/>
      <c r="T23" s="338"/>
      <c r="U23" s="338"/>
      <c r="V23" s="338"/>
      <c r="W23" s="338"/>
      <c r="X23" s="338"/>
      <c r="Y23" s="338"/>
      <c r="Z23" s="338"/>
    </row>
    <row r="24" spans="1:28" ht="151.5" customHeight="1" x14ac:dyDescent="0.25">
      <c r="A24" s="128" t="s">
        <v>210</v>
      </c>
      <c r="B24" s="129" t="s">
        <v>230</v>
      </c>
      <c r="C24" s="128" t="s">
        <v>293</v>
      </c>
      <c r="D24" s="128" t="s">
        <v>211</v>
      </c>
      <c r="E24" s="128" t="s">
        <v>294</v>
      </c>
      <c r="F24" s="128" t="s">
        <v>444</v>
      </c>
      <c r="G24" s="128" t="s">
        <v>445</v>
      </c>
      <c r="H24" s="128" t="s">
        <v>212</v>
      </c>
      <c r="I24" s="128" t="s">
        <v>446</v>
      </c>
      <c r="J24" s="128" t="s">
        <v>235</v>
      </c>
      <c r="K24" s="129" t="s">
        <v>229</v>
      </c>
      <c r="L24" s="129" t="s">
        <v>213</v>
      </c>
      <c r="M24" s="130" t="s">
        <v>242</v>
      </c>
      <c r="N24" s="129" t="s">
        <v>447</v>
      </c>
      <c r="O24" s="128" t="s">
        <v>448</v>
      </c>
      <c r="P24" s="128" t="s">
        <v>449</v>
      </c>
      <c r="Q24" s="128" t="s">
        <v>450</v>
      </c>
      <c r="R24" s="128" t="s">
        <v>212</v>
      </c>
      <c r="S24" s="128" t="s">
        <v>451</v>
      </c>
      <c r="T24" s="128" t="s">
        <v>452</v>
      </c>
      <c r="U24" s="128" t="s">
        <v>453</v>
      </c>
      <c r="V24" s="128" t="s">
        <v>450</v>
      </c>
      <c r="W24" s="131" t="s">
        <v>454</v>
      </c>
      <c r="X24" s="131" t="s">
        <v>455</v>
      </c>
      <c r="Y24" s="131" t="s">
        <v>456</v>
      </c>
      <c r="Z24" s="132" t="s">
        <v>247</v>
      </c>
    </row>
    <row r="25" spans="1:28" ht="16.5" customHeight="1" x14ac:dyDescent="0.25">
      <c r="A25" s="128">
        <v>1</v>
      </c>
      <c r="B25" s="129">
        <v>2</v>
      </c>
      <c r="C25" s="128">
        <v>3</v>
      </c>
      <c r="D25" s="129">
        <v>4</v>
      </c>
      <c r="E25" s="128">
        <v>5</v>
      </c>
      <c r="F25" s="129">
        <v>6</v>
      </c>
      <c r="G25" s="128">
        <v>7</v>
      </c>
      <c r="H25" s="129">
        <v>8</v>
      </c>
      <c r="I25" s="128">
        <v>9</v>
      </c>
      <c r="J25" s="129">
        <v>10</v>
      </c>
      <c r="K25" s="128">
        <v>11</v>
      </c>
      <c r="L25" s="129">
        <v>12</v>
      </c>
      <c r="M25" s="128">
        <v>13</v>
      </c>
      <c r="N25" s="129">
        <v>14</v>
      </c>
      <c r="O25" s="128">
        <v>15</v>
      </c>
      <c r="P25" s="129">
        <v>16</v>
      </c>
      <c r="Q25" s="128">
        <v>17</v>
      </c>
      <c r="R25" s="129">
        <v>18</v>
      </c>
      <c r="S25" s="128">
        <v>19</v>
      </c>
      <c r="T25" s="129">
        <v>20</v>
      </c>
      <c r="U25" s="128">
        <v>21</v>
      </c>
      <c r="V25" s="129">
        <v>22</v>
      </c>
      <c r="W25" s="128">
        <v>23</v>
      </c>
      <c r="X25" s="129">
        <v>24</v>
      </c>
      <c r="Y25" s="128">
        <v>25</v>
      </c>
      <c r="Z25" s="129">
        <v>26</v>
      </c>
    </row>
    <row r="26" spans="1:28" ht="45.75" customHeight="1" x14ac:dyDescent="0.25">
      <c r="A26" s="133" t="s">
        <v>291</v>
      </c>
      <c r="B26" s="133"/>
      <c r="C26" s="134" t="s">
        <v>457</v>
      </c>
      <c r="D26" s="134" t="s">
        <v>458</v>
      </c>
      <c r="E26" s="134" t="s">
        <v>459</v>
      </c>
      <c r="F26" s="134" t="s">
        <v>460</v>
      </c>
      <c r="G26" s="134" t="s">
        <v>461</v>
      </c>
      <c r="H26" s="134" t="s">
        <v>212</v>
      </c>
      <c r="I26" s="134" t="s">
        <v>462</v>
      </c>
      <c r="J26" s="134" t="s">
        <v>463</v>
      </c>
      <c r="K26" s="135"/>
      <c r="L26" s="134" t="s">
        <v>227</v>
      </c>
      <c r="M26" s="136" t="s">
        <v>240</v>
      </c>
      <c r="N26" s="135"/>
      <c r="O26" s="135"/>
      <c r="P26" s="135"/>
      <c r="Q26" s="135"/>
      <c r="R26" s="135"/>
      <c r="S26" s="135"/>
      <c r="T26" s="135"/>
      <c r="U26" s="135"/>
      <c r="V26" s="135"/>
      <c r="W26" s="135"/>
      <c r="X26" s="135"/>
      <c r="Y26" s="135"/>
      <c r="Z26" s="137" t="s">
        <v>248</v>
      </c>
    </row>
    <row r="27" spans="1:28" x14ac:dyDescent="0.25">
      <c r="A27" s="135" t="s">
        <v>214</v>
      </c>
      <c r="B27" s="135" t="s">
        <v>231</v>
      </c>
      <c r="C27" s="135" t="s">
        <v>215</v>
      </c>
      <c r="D27" s="135" t="s">
        <v>216</v>
      </c>
      <c r="E27" s="135" t="s">
        <v>243</v>
      </c>
      <c r="F27" s="134" t="s">
        <v>464</v>
      </c>
      <c r="G27" s="134" t="s">
        <v>465</v>
      </c>
      <c r="H27" s="135" t="s">
        <v>212</v>
      </c>
      <c r="I27" s="134" t="s">
        <v>466</v>
      </c>
      <c r="J27" s="134" t="s">
        <v>467</v>
      </c>
      <c r="K27" s="134" t="s">
        <v>223</v>
      </c>
      <c r="L27" s="135"/>
      <c r="M27" s="134" t="s">
        <v>241</v>
      </c>
      <c r="N27" s="135"/>
      <c r="O27" s="135"/>
      <c r="P27" s="135"/>
      <c r="Q27" s="135"/>
      <c r="R27" s="135"/>
      <c r="S27" s="135"/>
      <c r="T27" s="135"/>
      <c r="U27" s="135"/>
      <c r="V27" s="135"/>
      <c r="W27" s="135"/>
      <c r="X27" s="135"/>
      <c r="Y27" s="135"/>
      <c r="Z27" s="135"/>
    </row>
    <row r="28" spans="1:28" x14ac:dyDescent="0.25">
      <c r="A28" s="135" t="s">
        <v>214</v>
      </c>
      <c r="B28" s="135" t="s">
        <v>232</v>
      </c>
      <c r="C28" s="135" t="s">
        <v>217</v>
      </c>
      <c r="D28" s="135" t="s">
        <v>218</v>
      </c>
      <c r="E28" s="135" t="s">
        <v>244</v>
      </c>
      <c r="F28" s="134" t="s">
        <v>468</v>
      </c>
      <c r="G28" s="134" t="s">
        <v>469</v>
      </c>
      <c r="H28" s="135" t="s">
        <v>212</v>
      </c>
      <c r="I28" s="134" t="s">
        <v>236</v>
      </c>
      <c r="J28" s="134" t="s">
        <v>470</v>
      </c>
      <c r="K28" s="134" t="s">
        <v>224</v>
      </c>
      <c r="L28" s="138"/>
      <c r="M28" s="134" t="s">
        <v>0</v>
      </c>
      <c r="N28" s="134"/>
      <c r="O28" s="134"/>
      <c r="P28" s="134"/>
      <c r="Q28" s="134"/>
      <c r="R28" s="134"/>
      <c r="S28" s="134"/>
      <c r="T28" s="134"/>
      <c r="U28" s="134"/>
      <c r="V28" s="134"/>
      <c r="W28" s="134"/>
      <c r="X28" s="134"/>
      <c r="Y28" s="134"/>
      <c r="Z28" s="134"/>
    </row>
    <row r="29" spans="1:28" x14ac:dyDescent="0.25">
      <c r="A29" s="135" t="s">
        <v>214</v>
      </c>
      <c r="B29" s="135" t="s">
        <v>233</v>
      </c>
      <c r="C29" s="135" t="s">
        <v>219</v>
      </c>
      <c r="D29" s="135" t="s">
        <v>220</v>
      </c>
      <c r="E29" s="135" t="s">
        <v>245</v>
      </c>
      <c r="F29" s="134" t="s">
        <v>471</v>
      </c>
      <c r="G29" s="134" t="s">
        <v>472</v>
      </c>
      <c r="H29" s="135" t="s">
        <v>212</v>
      </c>
      <c r="I29" s="134" t="s">
        <v>237</v>
      </c>
      <c r="J29" s="134" t="s">
        <v>473</v>
      </c>
      <c r="K29" s="134" t="s">
        <v>225</v>
      </c>
      <c r="L29" s="138"/>
      <c r="M29" s="135"/>
      <c r="N29" s="135"/>
      <c r="O29" s="135"/>
      <c r="P29" s="135"/>
      <c r="Q29" s="135"/>
      <c r="R29" s="135"/>
      <c r="S29" s="135"/>
      <c r="T29" s="135"/>
      <c r="U29" s="135"/>
      <c r="V29" s="135"/>
      <c r="W29" s="135"/>
      <c r="X29" s="135"/>
      <c r="Y29" s="135"/>
      <c r="Z29" s="135"/>
    </row>
    <row r="30" spans="1:28" x14ac:dyDescent="0.25">
      <c r="A30" s="135" t="s">
        <v>214</v>
      </c>
      <c r="B30" s="135" t="s">
        <v>234</v>
      </c>
      <c r="C30" s="135" t="s">
        <v>221</v>
      </c>
      <c r="D30" s="135" t="s">
        <v>222</v>
      </c>
      <c r="E30" s="135" t="s">
        <v>246</v>
      </c>
      <c r="F30" s="134" t="s">
        <v>474</v>
      </c>
      <c r="G30" s="134" t="s">
        <v>475</v>
      </c>
      <c r="H30" s="135" t="s">
        <v>212</v>
      </c>
      <c r="I30" s="134" t="s">
        <v>238</v>
      </c>
      <c r="J30" s="134" t="s">
        <v>476</v>
      </c>
      <c r="K30" s="134" t="s">
        <v>226</v>
      </c>
      <c r="L30" s="138"/>
      <c r="M30" s="135"/>
      <c r="N30" s="135"/>
      <c r="O30" s="135"/>
      <c r="P30" s="135"/>
      <c r="Q30" s="135"/>
      <c r="R30" s="135"/>
      <c r="S30" s="135"/>
      <c r="T30" s="135"/>
      <c r="U30" s="135"/>
      <c r="V30" s="135"/>
      <c r="W30" s="135"/>
      <c r="X30" s="135"/>
      <c r="Y30" s="135"/>
      <c r="Z30" s="135"/>
    </row>
    <row r="31" spans="1:28" x14ac:dyDescent="0.25">
      <c r="A31" s="135" t="s">
        <v>0</v>
      </c>
      <c r="B31" s="135" t="s">
        <v>0</v>
      </c>
      <c r="C31" s="135" t="s">
        <v>0</v>
      </c>
      <c r="D31" s="135" t="s">
        <v>0</v>
      </c>
      <c r="E31" s="135" t="s">
        <v>0</v>
      </c>
      <c r="F31" s="135" t="s">
        <v>0</v>
      </c>
      <c r="G31" s="135" t="s">
        <v>0</v>
      </c>
      <c r="H31" s="135" t="s">
        <v>0</v>
      </c>
      <c r="I31" s="135" t="s">
        <v>0</v>
      </c>
      <c r="J31" s="135" t="s">
        <v>0</v>
      </c>
      <c r="K31" s="135" t="s">
        <v>0</v>
      </c>
      <c r="L31" s="138"/>
      <c r="M31" s="135"/>
      <c r="N31" s="135"/>
      <c r="O31" s="135"/>
      <c r="P31" s="135"/>
      <c r="Q31" s="135"/>
      <c r="R31" s="135"/>
      <c r="S31" s="135"/>
      <c r="T31" s="135"/>
      <c r="U31" s="135"/>
      <c r="V31" s="135"/>
      <c r="W31" s="135"/>
      <c r="X31" s="135"/>
      <c r="Y31" s="135"/>
      <c r="Z31" s="135"/>
    </row>
    <row r="32" spans="1:28" ht="30" x14ac:dyDescent="0.25">
      <c r="A32" s="133" t="s">
        <v>292</v>
      </c>
      <c r="B32" s="133"/>
      <c r="C32" s="134" t="s">
        <v>477</v>
      </c>
      <c r="D32" s="134" t="s">
        <v>478</v>
      </c>
      <c r="E32" s="134" t="s">
        <v>479</v>
      </c>
      <c r="F32" s="134" t="s">
        <v>480</v>
      </c>
      <c r="G32" s="134" t="s">
        <v>481</v>
      </c>
      <c r="H32" s="134" t="s">
        <v>212</v>
      </c>
      <c r="I32" s="134" t="s">
        <v>482</v>
      </c>
      <c r="J32" s="134" t="s">
        <v>483</v>
      </c>
      <c r="K32" s="135"/>
      <c r="L32" s="135"/>
      <c r="M32" s="135"/>
      <c r="N32" s="135"/>
      <c r="O32" s="135"/>
      <c r="P32" s="135"/>
      <c r="Q32" s="135"/>
      <c r="R32" s="135"/>
      <c r="S32" s="135"/>
      <c r="T32" s="135"/>
      <c r="U32" s="135"/>
      <c r="V32" s="135"/>
      <c r="W32" s="135"/>
      <c r="X32" s="135"/>
      <c r="Y32" s="135"/>
      <c r="Z32" s="135"/>
    </row>
    <row r="33" spans="1:26" x14ac:dyDescent="0.25">
      <c r="A33" s="135" t="s">
        <v>0</v>
      </c>
      <c r="B33" s="135" t="s">
        <v>0</v>
      </c>
      <c r="C33" s="135" t="s">
        <v>0</v>
      </c>
      <c r="D33" s="135" t="s">
        <v>0</v>
      </c>
      <c r="E33" s="135" t="s">
        <v>0</v>
      </c>
      <c r="F33" s="135" t="s">
        <v>0</v>
      </c>
      <c r="G33" s="135" t="s">
        <v>0</v>
      </c>
      <c r="H33" s="135" t="s">
        <v>0</v>
      </c>
      <c r="I33" s="135" t="s">
        <v>0</v>
      </c>
      <c r="J33" s="135" t="s">
        <v>0</v>
      </c>
      <c r="K33" s="135" t="s">
        <v>0</v>
      </c>
      <c r="L33" s="135"/>
      <c r="M33" s="135"/>
      <c r="N33" s="135"/>
      <c r="O33" s="135"/>
      <c r="P33" s="135"/>
      <c r="Q33" s="135"/>
      <c r="R33" s="135"/>
      <c r="S33" s="135"/>
      <c r="T33" s="135"/>
      <c r="U33" s="135"/>
      <c r="V33" s="135"/>
      <c r="W33" s="135"/>
      <c r="X33" s="135"/>
      <c r="Y33" s="135"/>
      <c r="Z33" s="135"/>
    </row>
    <row r="37" spans="1:26" x14ac:dyDescent="0.25">
      <c r="A37" s="139"/>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80" zoomScaleSheetLayoutView="80" workbookViewId="0">
      <selection activeCell="B22" sqref="B22"/>
    </sheetView>
  </sheetViews>
  <sheetFormatPr defaultColWidth="9.140625" defaultRowHeight="15" x14ac:dyDescent="0.25"/>
  <cols>
    <col min="1" max="1" width="7.42578125" style="118" customWidth="1"/>
    <col min="2" max="2" width="25.5703125" style="118" customWidth="1"/>
    <col min="3" max="3" width="71.28515625" style="118" customWidth="1"/>
    <col min="4" max="4" width="16.140625" style="118" customWidth="1"/>
    <col min="5" max="5" width="9.42578125" style="118" customWidth="1"/>
    <col min="6" max="6" width="8.7109375" style="118" customWidth="1"/>
    <col min="7" max="7" width="9" style="118" customWidth="1"/>
    <col min="8" max="8" width="8.42578125" style="118" customWidth="1"/>
    <col min="9" max="9" width="33.85546875" style="118" customWidth="1"/>
    <col min="10" max="11" width="19.140625" style="118" customWidth="1"/>
    <col min="12" max="12" width="16" style="118" customWidth="1"/>
    <col min="13" max="13" width="14.85546875" style="118" customWidth="1"/>
    <col min="14" max="14" width="16.28515625" style="118" customWidth="1"/>
    <col min="15" max="16384" width="9.140625" style="118"/>
  </cols>
  <sheetData>
    <row r="1" spans="1:28" s="14" customFormat="1" ht="18.75" customHeight="1" x14ac:dyDescent="0.2">
      <c r="O1" s="21" t="s">
        <v>66</v>
      </c>
    </row>
    <row r="2" spans="1:28" s="14" customFormat="1" ht="18.75" customHeight="1" x14ac:dyDescent="0.3">
      <c r="O2" s="12" t="s">
        <v>8</v>
      </c>
    </row>
    <row r="3" spans="1:28" s="14" customFormat="1" ht="18.75" x14ac:dyDescent="0.3">
      <c r="A3" s="106"/>
      <c r="B3" s="106"/>
      <c r="O3" s="12" t="s">
        <v>65</v>
      </c>
    </row>
    <row r="4" spans="1:28" s="14" customFormat="1" ht="18.75" x14ac:dyDescent="0.3">
      <c r="A4" s="106"/>
      <c r="B4" s="106"/>
      <c r="L4" s="12"/>
    </row>
    <row r="5" spans="1:28" s="14" customFormat="1" ht="15.75" x14ac:dyDescent="0.2">
      <c r="A5" s="302" t="str">
        <f>'1. паспорт местоположение'!A5:C5</f>
        <v>Год раскрытия информации: 2024  год</v>
      </c>
      <c r="B5" s="302"/>
      <c r="C5" s="302"/>
      <c r="D5" s="302"/>
      <c r="E5" s="302"/>
      <c r="F5" s="302"/>
      <c r="G5" s="302"/>
      <c r="H5" s="302"/>
      <c r="I5" s="302"/>
      <c r="J5" s="302"/>
      <c r="K5" s="302"/>
      <c r="L5" s="302"/>
      <c r="M5" s="302"/>
      <c r="N5" s="302"/>
      <c r="O5" s="302"/>
      <c r="P5" s="86"/>
      <c r="Q5" s="86"/>
      <c r="R5" s="86"/>
      <c r="S5" s="86"/>
      <c r="T5" s="86"/>
      <c r="U5" s="86"/>
      <c r="V5" s="86"/>
      <c r="W5" s="86"/>
      <c r="X5" s="86"/>
      <c r="Y5" s="86"/>
      <c r="Z5" s="86"/>
      <c r="AA5" s="86"/>
      <c r="AB5" s="86"/>
    </row>
    <row r="6" spans="1:28" s="14" customFormat="1" ht="18.75" x14ac:dyDescent="0.3">
      <c r="A6" s="106"/>
      <c r="B6" s="106"/>
      <c r="L6" s="12"/>
    </row>
    <row r="7" spans="1:28" s="14" customFormat="1" ht="18.75" x14ac:dyDescent="0.2">
      <c r="A7" s="311" t="s">
        <v>7</v>
      </c>
      <c r="B7" s="311"/>
      <c r="C7" s="311"/>
      <c r="D7" s="311"/>
      <c r="E7" s="311"/>
      <c r="F7" s="311"/>
      <c r="G7" s="311"/>
      <c r="H7" s="311"/>
      <c r="I7" s="311"/>
      <c r="J7" s="311"/>
      <c r="K7" s="311"/>
      <c r="L7" s="311"/>
      <c r="M7" s="311"/>
      <c r="N7" s="311"/>
      <c r="O7" s="311"/>
      <c r="P7" s="108"/>
      <c r="Q7" s="108"/>
      <c r="R7" s="108"/>
      <c r="S7" s="108"/>
      <c r="T7" s="108"/>
      <c r="U7" s="108"/>
      <c r="V7" s="108"/>
      <c r="W7" s="108"/>
      <c r="X7" s="108"/>
      <c r="Y7" s="108"/>
      <c r="Z7" s="108"/>
    </row>
    <row r="8" spans="1:28" s="14" customFormat="1" ht="18.75" x14ac:dyDescent="0.2">
      <c r="A8" s="311"/>
      <c r="B8" s="311"/>
      <c r="C8" s="311"/>
      <c r="D8" s="311"/>
      <c r="E8" s="311"/>
      <c r="F8" s="311"/>
      <c r="G8" s="311"/>
      <c r="H8" s="311"/>
      <c r="I8" s="311"/>
      <c r="J8" s="311"/>
      <c r="K8" s="311"/>
      <c r="L8" s="311"/>
      <c r="M8" s="311"/>
      <c r="N8" s="311"/>
      <c r="O8" s="311"/>
      <c r="P8" s="108"/>
      <c r="Q8" s="108"/>
      <c r="R8" s="108"/>
      <c r="S8" s="108"/>
      <c r="T8" s="108"/>
      <c r="U8" s="108"/>
      <c r="V8" s="108"/>
      <c r="W8" s="108"/>
      <c r="X8" s="108"/>
      <c r="Y8" s="108"/>
      <c r="Z8" s="108"/>
    </row>
    <row r="9" spans="1:28" s="14" customFormat="1" ht="18.75" x14ac:dyDescent="0.2">
      <c r="A9" s="309" t="str">
        <f>'1. паспорт местоположение'!A9:C9</f>
        <v xml:space="preserve">Акционерное общество "Западная энергетическая компания" </v>
      </c>
      <c r="B9" s="309"/>
      <c r="C9" s="309"/>
      <c r="D9" s="309"/>
      <c r="E9" s="309"/>
      <c r="F9" s="309"/>
      <c r="G9" s="309"/>
      <c r="H9" s="309"/>
      <c r="I9" s="309"/>
      <c r="J9" s="309"/>
      <c r="K9" s="309"/>
      <c r="L9" s="309"/>
      <c r="M9" s="309"/>
      <c r="N9" s="309"/>
      <c r="O9" s="309"/>
      <c r="P9" s="108"/>
      <c r="Q9" s="108"/>
      <c r="R9" s="108"/>
      <c r="S9" s="108"/>
      <c r="T9" s="108"/>
      <c r="U9" s="108"/>
      <c r="V9" s="108"/>
      <c r="W9" s="108"/>
      <c r="X9" s="108"/>
      <c r="Y9" s="108"/>
      <c r="Z9" s="108"/>
    </row>
    <row r="10" spans="1:28" s="14" customFormat="1" ht="18.75" x14ac:dyDescent="0.2">
      <c r="A10" s="315" t="s">
        <v>6</v>
      </c>
      <c r="B10" s="315"/>
      <c r="C10" s="315"/>
      <c r="D10" s="315"/>
      <c r="E10" s="315"/>
      <c r="F10" s="315"/>
      <c r="G10" s="315"/>
      <c r="H10" s="315"/>
      <c r="I10" s="315"/>
      <c r="J10" s="315"/>
      <c r="K10" s="315"/>
      <c r="L10" s="315"/>
      <c r="M10" s="315"/>
      <c r="N10" s="315"/>
      <c r="O10" s="315"/>
      <c r="P10" s="108"/>
      <c r="Q10" s="108"/>
      <c r="R10" s="108"/>
      <c r="S10" s="108"/>
      <c r="T10" s="108"/>
      <c r="U10" s="108"/>
      <c r="V10" s="108"/>
      <c r="W10" s="108"/>
      <c r="X10" s="108"/>
      <c r="Y10" s="108"/>
      <c r="Z10" s="108"/>
    </row>
    <row r="11" spans="1:28" s="14" customFormat="1" ht="18.75" x14ac:dyDescent="0.2">
      <c r="A11" s="311"/>
      <c r="B11" s="311"/>
      <c r="C11" s="311"/>
      <c r="D11" s="311"/>
      <c r="E11" s="311"/>
      <c r="F11" s="311"/>
      <c r="G11" s="311"/>
      <c r="H11" s="311"/>
      <c r="I11" s="311"/>
      <c r="J11" s="311"/>
      <c r="K11" s="311"/>
      <c r="L11" s="311"/>
      <c r="M11" s="311"/>
      <c r="N11" s="311"/>
      <c r="O11" s="311"/>
      <c r="P11" s="108"/>
      <c r="Q11" s="108"/>
      <c r="R11" s="108"/>
      <c r="S11" s="108"/>
      <c r="T11" s="108"/>
      <c r="U11" s="108"/>
      <c r="V11" s="108"/>
      <c r="W11" s="108"/>
      <c r="X11" s="108"/>
      <c r="Y11" s="108"/>
      <c r="Z11" s="108"/>
    </row>
    <row r="12" spans="1:28" s="14" customFormat="1" ht="18.75" x14ac:dyDescent="0.2">
      <c r="A12" s="309" t="str">
        <f>'1. паспорт местоположение'!A12:C12</f>
        <v>J 19-09</v>
      </c>
      <c r="B12" s="309"/>
      <c r="C12" s="309"/>
      <c r="D12" s="309"/>
      <c r="E12" s="309"/>
      <c r="F12" s="309"/>
      <c r="G12" s="309"/>
      <c r="H12" s="309"/>
      <c r="I12" s="309"/>
      <c r="J12" s="309"/>
      <c r="K12" s="309"/>
      <c r="L12" s="309"/>
      <c r="M12" s="309"/>
      <c r="N12" s="309"/>
      <c r="O12" s="309"/>
      <c r="P12" s="108"/>
      <c r="Q12" s="108"/>
      <c r="R12" s="108"/>
      <c r="S12" s="108"/>
      <c r="T12" s="108"/>
      <c r="U12" s="108"/>
      <c r="V12" s="108"/>
      <c r="W12" s="108"/>
      <c r="X12" s="108"/>
      <c r="Y12" s="108"/>
      <c r="Z12" s="108"/>
    </row>
    <row r="13" spans="1:28" s="14" customFormat="1" ht="18.75" x14ac:dyDescent="0.2">
      <c r="A13" s="315" t="s">
        <v>5</v>
      </c>
      <c r="B13" s="315"/>
      <c r="C13" s="315"/>
      <c r="D13" s="315"/>
      <c r="E13" s="315"/>
      <c r="F13" s="315"/>
      <c r="G13" s="315"/>
      <c r="H13" s="315"/>
      <c r="I13" s="315"/>
      <c r="J13" s="315"/>
      <c r="K13" s="315"/>
      <c r="L13" s="315"/>
      <c r="M13" s="315"/>
      <c r="N13" s="315"/>
      <c r="O13" s="315"/>
      <c r="P13" s="108"/>
      <c r="Q13" s="108"/>
      <c r="R13" s="108"/>
      <c r="S13" s="108"/>
      <c r="T13" s="108"/>
      <c r="U13" s="108"/>
      <c r="V13" s="108"/>
      <c r="W13" s="108"/>
      <c r="X13" s="108"/>
      <c r="Y13" s="108"/>
      <c r="Z13" s="108"/>
    </row>
    <row r="14" spans="1:28" s="14" customFormat="1" ht="15.75" customHeight="1" x14ac:dyDescent="0.2">
      <c r="A14" s="316"/>
      <c r="B14" s="316"/>
      <c r="C14" s="316"/>
      <c r="D14" s="316"/>
      <c r="E14" s="316"/>
      <c r="F14" s="316"/>
      <c r="G14" s="316"/>
      <c r="H14" s="316"/>
      <c r="I14" s="316"/>
      <c r="J14" s="316"/>
      <c r="K14" s="316"/>
      <c r="L14" s="316"/>
      <c r="M14" s="316"/>
      <c r="N14" s="316"/>
      <c r="O14" s="316"/>
      <c r="P14" s="109"/>
      <c r="Q14" s="109"/>
      <c r="R14" s="109"/>
      <c r="S14" s="109"/>
      <c r="T14" s="109"/>
      <c r="U14" s="109"/>
      <c r="V14" s="109"/>
      <c r="W14" s="109"/>
      <c r="X14" s="109"/>
      <c r="Y14" s="109"/>
      <c r="Z14" s="109"/>
    </row>
    <row r="15" spans="1:28" s="107" customFormat="1" ht="15.75" x14ac:dyDescent="0.2">
      <c r="A15" s="309" t="str">
        <f>'1. паспорт местоположение'!A15:C15</f>
        <v>Реконструкция ТП 15/6/0,4кВ  ТП-5 с заменой ячеек КРУ 15кВ с  маслянными выключателями SCI-20 ячейки  на КРУ-15кВ с вакуумными выключателями 9 шт., заменой ячеек КРУ 6 кВ с воздушными выключателями нагрузки на КРУ  с элегазовыми выключателями нагрузки;  с установкой 2-го трансформатора 15 кВ мощностью 0,8 МВА,с приростом мощности на 0,8 МВА; заменой трансформатора 6 кВ мощностью 0,18 МВА  на 0,25 МВА, с приростом мощности 0,07 МВА, в п.Северный, Багратионовского р-на</v>
      </c>
      <c r="B15" s="309"/>
      <c r="C15" s="309"/>
      <c r="D15" s="309"/>
      <c r="E15" s="309"/>
      <c r="F15" s="309"/>
      <c r="G15" s="309"/>
      <c r="H15" s="309"/>
      <c r="I15" s="309"/>
      <c r="J15" s="309"/>
      <c r="K15" s="309"/>
      <c r="L15" s="309"/>
      <c r="M15" s="309"/>
      <c r="N15" s="309"/>
      <c r="O15" s="309"/>
      <c r="P15" s="110"/>
      <c r="Q15" s="110"/>
      <c r="R15" s="110"/>
      <c r="S15" s="110"/>
      <c r="T15" s="110"/>
      <c r="U15" s="110"/>
      <c r="V15" s="110"/>
      <c r="W15" s="110"/>
      <c r="X15" s="110"/>
      <c r="Y15" s="110"/>
      <c r="Z15" s="110"/>
    </row>
    <row r="16" spans="1:28" s="107" customFormat="1" ht="15" customHeight="1" x14ac:dyDescent="0.2">
      <c r="A16" s="315" t="s">
        <v>4</v>
      </c>
      <c r="B16" s="315"/>
      <c r="C16" s="315"/>
      <c r="D16" s="315"/>
      <c r="E16" s="315"/>
      <c r="F16" s="315"/>
      <c r="G16" s="315"/>
      <c r="H16" s="315"/>
      <c r="I16" s="315"/>
      <c r="J16" s="315"/>
      <c r="K16" s="315"/>
      <c r="L16" s="315"/>
      <c r="M16" s="315"/>
      <c r="N16" s="315"/>
      <c r="O16" s="315"/>
      <c r="P16" s="111"/>
      <c r="Q16" s="111"/>
      <c r="R16" s="111"/>
      <c r="S16" s="111"/>
      <c r="T16" s="111"/>
      <c r="U16" s="111"/>
      <c r="V16" s="111"/>
      <c r="W16" s="111"/>
      <c r="X16" s="111"/>
      <c r="Y16" s="111"/>
      <c r="Z16" s="111"/>
    </row>
    <row r="17" spans="1:26" s="107" customFormat="1" ht="15" customHeight="1" x14ac:dyDescent="0.2">
      <c r="A17" s="316"/>
      <c r="B17" s="316"/>
      <c r="C17" s="316"/>
      <c r="D17" s="316"/>
      <c r="E17" s="316"/>
      <c r="F17" s="316"/>
      <c r="G17" s="316"/>
      <c r="H17" s="316"/>
      <c r="I17" s="316"/>
      <c r="J17" s="316"/>
      <c r="K17" s="316"/>
      <c r="L17" s="316"/>
      <c r="M17" s="316"/>
      <c r="N17" s="316"/>
      <c r="O17" s="316"/>
      <c r="P17" s="109"/>
      <c r="Q17" s="109"/>
      <c r="R17" s="109"/>
      <c r="S17" s="109"/>
      <c r="T17" s="109"/>
      <c r="U17" s="109"/>
      <c r="V17" s="109"/>
      <c r="W17" s="109"/>
    </row>
    <row r="18" spans="1:26" s="107" customFormat="1" ht="91.5" customHeight="1" x14ac:dyDescent="0.2">
      <c r="A18" s="346" t="s">
        <v>391</v>
      </c>
      <c r="B18" s="346"/>
      <c r="C18" s="346"/>
      <c r="D18" s="346"/>
      <c r="E18" s="346"/>
      <c r="F18" s="346"/>
      <c r="G18" s="346"/>
      <c r="H18" s="346"/>
      <c r="I18" s="346"/>
      <c r="J18" s="346"/>
      <c r="K18" s="346"/>
      <c r="L18" s="346"/>
      <c r="M18" s="346"/>
      <c r="N18" s="346"/>
      <c r="O18" s="346"/>
      <c r="P18" s="112"/>
      <c r="Q18" s="112"/>
      <c r="R18" s="112"/>
      <c r="S18" s="112"/>
      <c r="T18" s="112"/>
      <c r="U18" s="112"/>
      <c r="V18" s="112"/>
      <c r="W18" s="112"/>
      <c r="X18" s="112"/>
      <c r="Y18" s="112"/>
      <c r="Z18" s="112"/>
    </row>
    <row r="19" spans="1:26" s="107" customFormat="1" ht="78" customHeight="1" x14ac:dyDescent="0.2">
      <c r="A19" s="342" t="s">
        <v>3</v>
      </c>
      <c r="B19" s="342" t="s">
        <v>82</v>
      </c>
      <c r="C19" s="342" t="s">
        <v>81</v>
      </c>
      <c r="D19" s="342" t="s">
        <v>73</v>
      </c>
      <c r="E19" s="343" t="s">
        <v>80</v>
      </c>
      <c r="F19" s="344"/>
      <c r="G19" s="344"/>
      <c r="H19" s="344"/>
      <c r="I19" s="345"/>
      <c r="J19" s="342" t="s">
        <v>79</v>
      </c>
      <c r="K19" s="342"/>
      <c r="L19" s="342"/>
      <c r="M19" s="342"/>
      <c r="N19" s="342"/>
      <c r="O19" s="342"/>
      <c r="P19" s="109"/>
      <c r="Q19" s="109"/>
      <c r="R19" s="109"/>
      <c r="S19" s="109"/>
      <c r="T19" s="109"/>
      <c r="U19" s="109"/>
      <c r="V19" s="109"/>
      <c r="W19" s="109"/>
    </row>
    <row r="20" spans="1:26" s="107" customFormat="1" ht="51" customHeight="1" x14ac:dyDescent="0.2">
      <c r="A20" s="342"/>
      <c r="B20" s="342"/>
      <c r="C20" s="342"/>
      <c r="D20" s="342"/>
      <c r="E20" s="180" t="s">
        <v>78</v>
      </c>
      <c r="F20" s="180" t="s">
        <v>77</v>
      </c>
      <c r="G20" s="180" t="s">
        <v>76</v>
      </c>
      <c r="H20" s="180" t="s">
        <v>75</v>
      </c>
      <c r="I20" s="180" t="s">
        <v>74</v>
      </c>
      <c r="J20" s="180">
        <v>2018</v>
      </c>
      <c r="K20" s="180">
        <v>2019</v>
      </c>
      <c r="L20" s="180">
        <v>2020</v>
      </c>
      <c r="M20" s="180">
        <v>2021</v>
      </c>
      <c r="N20" s="180">
        <v>2022</v>
      </c>
      <c r="O20" s="180">
        <v>2023</v>
      </c>
      <c r="P20" s="109"/>
      <c r="Q20" s="109"/>
      <c r="R20" s="109"/>
      <c r="S20" s="109"/>
      <c r="T20" s="109"/>
      <c r="U20" s="109"/>
      <c r="V20" s="109"/>
      <c r="W20" s="109"/>
    </row>
    <row r="21" spans="1:26" s="107"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109"/>
      <c r="Q21" s="109"/>
      <c r="R21" s="109"/>
      <c r="S21" s="109"/>
      <c r="T21" s="109"/>
      <c r="U21" s="109"/>
      <c r="V21" s="109"/>
      <c r="W21" s="109"/>
    </row>
    <row r="22" spans="1:26" s="107" customFormat="1" ht="18.75" x14ac:dyDescent="0.2">
      <c r="A22" s="15" t="s">
        <v>62</v>
      </c>
      <c r="B22" s="181" t="s">
        <v>544</v>
      </c>
      <c r="C22" s="17">
        <v>0</v>
      </c>
      <c r="D22" s="17">
        <v>0</v>
      </c>
      <c r="E22" s="17">
        <v>0</v>
      </c>
      <c r="F22" s="17">
        <v>0</v>
      </c>
      <c r="G22" s="17">
        <v>0</v>
      </c>
      <c r="H22" s="17">
        <v>0</v>
      </c>
      <c r="I22" s="17">
        <v>0</v>
      </c>
      <c r="J22" s="182">
        <v>0</v>
      </c>
      <c r="K22" s="182">
        <v>0</v>
      </c>
      <c r="L22" s="183">
        <v>0</v>
      </c>
      <c r="M22" s="183">
        <v>0</v>
      </c>
      <c r="N22" s="183">
        <v>0</v>
      </c>
      <c r="O22" s="183">
        <v>0</v>
      </c>
      <c r="P22" s="109"/>
      <c r="Q22" s="109"/>
      <c r="R22" s="109"/>
      <c r="S22" s="109"/>
      <c r="T22" s="109"/>
      <c r="U22" s="109"/>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workbookViewId="0">
      <selection activeCell="J17" sqref="J17"/>
    </sheetView>
  </sheetViews>
  <sheetFormatPr defaultRowHeight="12.75" x14ac:dyDescent="0.2"/>
  <cols>
    <col min="1" max="1" width="66.140625" style="216" customWidth="1"/>
    <col min="2" max="2" width="17.140625" style="216" customWidth="1"/>
    <col min="3" max="3" width="16" style="216" customWidth="1"/>
    <col min="4" max="4" width="15.140625" style="216" customWidth="1"/>
    <col min="5" max="5" width="17.5703125" style="216" customWidth="1"/>
    <col min="6" max="6" width="14.5703125" style="216" customWidth="1"/>
    <col min="7" max="7" width="13.42578125" style="216" customWidth="1"/>
    <col min="8" max="13" width="15.42578125" style="216" customWidth="1"/>
    <col min="14" max="14" width="15.42578125" style="289" hidden="1" customWidth="1"/>
    <col min="15" max="19" width="15.42578125" style="216" hidden="1" customWidth="1"/>
    <col min="20" max="29" width="17.28515625" style="216" hidden="1" customWidth="1"/>
    <col min="30" max="31" width="17.28515625" style="206" hidden="1" customWidth="1"/>
    <col min="32" max="35" width="9.140625" style="206" hidden="1" customWidth="1"/>
    <col min="36" max="43" width="9.140625" style="206" customWidth="1"/>
    <col min="44" max="16384" width="9.140625" style="206"/>
  </cols>
  <sheetData>
    <row r="1" spans="1:45" x14ac:dyDescent="0.2">
      <c r="A1" s="203"/>
      <c r="B1" s="204"/>
      <c r="C1" s="204"/>
      <c r="D1" s="204"/>
      <c r="E1" s="204"/>
      <c r="F1" s="204"/>
      <c r="G1" s="204"/>
      <c r="H1" s="204"/>
      <c r="I1" s="204"/>
      <c r="J1" s="204"/>
      <c r="K1" s="205"/>
      <c r="L1" s="204"/>
      <c r="M1" s="204"/>
      <c r="N1" s="204"/>
      <c r="O1" s="204"/>
      <c r="P1" s="205" t="s">
        <v>66</v>
      </c>
      <c r="Q1" s="204"/>
      <c r="R1" s="204"/>
      <c r="S1" s="204"/>
      <c r="T1" s="204"/>
      <c r="U1" s="204"/>
      <c r="V1" s="204"/>
      <c r="W1" s="204"/>
      <c r="X1" s="204"/>
      <c r="Y1" s="204"/>
      <c r="Z1" s="204"/>
      <c r="AA1" s="204"/>
      <c r="AB1" s="204"/>
      <c r="AC1" s="204"/>
      <c r="AD1" s="204"/>
      <c r="AE1" s="204"/>
      <c r="AF1" s="204"/>
      <c r="AG1" s="204"/>
      <c r="AH1" s="204"/>
      <c r="AI1" s="204"/>
      <c r="AJ1" s="204"/>
      <c r="AK1" s="204"/>
      <c r="AL1" s="204"/>
      <c r="AM1" s="204"/>
      <c r="AN1" s="204"/>
      <c r="AP1" s="207"/>
      <c r="AQ1" s="207"/>
      <c r="AR1" s="208"/>
      <c r="AS1" s="208"/>
    </row>
    <row r="2" spans="1:45" x14ac:dyDescent="0.2">
      <c r="A2" s="203"/>
      <c r="B2" s="204"/>
      <c r="C2" s="204"/>
      <c r="D2" s="204"/>
      <c r="E2" s="204"/>
      <c r="F2" s="204"/>
      <c r="G2" s="204"/>
      <c r="H2" s="204"/>
      <c r="I2" s="204"/>
      <c r="J2" s="204"/>
      <c r="K2" s="209"/>
      <c r="L2" s="204"/>
      <c r="M2" s="204"/>
      <c r="N2" s="204"/>
      <c r="O2" s="204"/>
      <c r="P2" s="209" t="s">
        <v>8</v>
      </c>
      <c r="Q2" s="204"/>
      <c r="R2" s="204"/>
      <c r="S2" s="204"/>
      <c r="T2" s="204"/>
      <c r="U2" s="204"/>
      <c r="V2" s="204"/>
      <c r="W2" s="204"/>
      <c r="X2" s="204"/>
      <c r="Y2" s="204"/>
      <c r="Z2" s="204"/>
      <c r="AA2" s="204"/>
      <c r="AB2" s="204"/>
      <c r="AC2" s="204"/>
      <c r="AD2" s="204"/>
      <c r="AE2" s="204"/>
      <c r="AF2" s="204"/>
      <c r="AG2" s="204"/>
      <c r="AH2" s="204"/>
      <c r="AI2" s="204"/>
      <c r="AJ2" s="204"/>
      <c r="AK2" s="204"/>
      <c r="AL2" s="204"/>
      <c r="AM2" s="204"/>
      <c r="AN2" s="204"/>
      <c r="AP2" s="207"/>
      <c r="AQ2" s="207"/>
      <c r="AR2" s="208"/>
      <c r="AS2" s="208"/>
    </row>
    <row r="3" spans="1:45" x14ac:dyDescent="0.2">
      <c r="A3" s="210"/>
      <c r="B3" s="204"/>
      <c r="C3" s="204"/>
      <c r="D3" s="204"/>
      <c r="E3" s="204"/>
      <c r="F3" s="204"/>
      <c r="G3" s="204"/>
      <c r="H3" s="204"/>
      <c r="I3" s="204"/>
      <c r="J3" s="204"/>
      <c r="K3" s="209"/>
      <c r="L3" s="204"/>
      <c r="M3" s="204"/>
      <c r="N3" s="204"/>
      <c r="O3" s="204"/>
      <c r="P3" s="209" t="s">
        <v>442</v>
      </c>
      <c r="Q3" s="204"/>
      <c r="R3" s="204"/>
      <c r="S3" s="204"/>
      <c r="T3" s="204"/>
      <c r="U3" s="204"/>
      <c r="V3" s="204"/>
      <c r="W3" s="204"/>
      <c r="X3" s="204"/>
      <c r="Y3" s="204"/>
      <c r="Z3" s="204"/>
      <c r="AA3" s="204"/>
      <c r="AB3" s="204"/>
      <c r="AC3" s="204"/>
      <c r="AD3" s="204"/>
      <c r="AE3" s="204"/>
      <c r="AF3" s="204"/>
      <c r="AG3" s="204"/>
      <c r="AH3" s="204"/>
      <c r="AI3" s="204"/>
      <c r="AJ3" s="204"/>
      <c r="AK3" s="204"/>
      <c r="AL3" s="204"/>
      <c r="AM3" s="204"/>
      <c r="AN3" s="204"/>
      <c r="AP3" s="207"/>
      <c r="AQ3" s="207"/>
      <c r="AR3" s="208"/>
      <c r="AS3" s="208"/>
    </row>
    <row r="4" spans="1:45" x14ac:dyDescent="0.2">
      <c r="A4" s="211"/>
      <c r="B4" s="203"/>
      <c r="C4" s="203"/>
      <c r="D4" s="203"/>
      <c r="E4" s="203"/>
      <c r="F4" s="203"/>
      <c r="G4" s="203"/>
      <c r="H4" s="203"/>
      <c r="I4" s="203"/>
      <c r="J4" s="203"/>
      <c r="K4" s="209"/>
      <c r="L4" s="203"/>
      <c r="M4" s="203"/>
      <c r="N4" s="203"/>
      <c r="O4" s="203"/>
      <c r="P4" s="203"/>
      <c r="Q4" s="204"/>
      <c r="R4" s="204"/>
      <c r="S4" s="204"/>
      <c r="T4" s="204"/>
      <c r="U4" s="204"/>
      <c r="V4" s="204"/>
      <c r="W4" s="204"/>
      <c r="X4" s="204"/>
      <c r="Y4" s="204"/>
      <c r="Z4" s="204"/>
      <c r="AA4" s="204"/>
      <c r="AB4" s="204"/>
      <c r="AC4" s="204"/>
      <c r="AD4" s="204"/>
      <c r="AE4" s="204"/>
      <c r="AF4" s="204"/>
      <c r="AG4" s="204"/>
      <c r="AH4" s="204"/>
      <c r="AI4" s="204"/>
      <c r="AJ4" s="204"/>
      <c r="AK4" s="204"/>
      <c r="AL4" s="204"/>
      <c r="AM4" s="204"/>
      <c r="AN4" s="204"/>
      <c r="AO4" s="204"/>
      <c r="AP4" s="207"/>
      <c r="AQ4" s="207"/>
      <c r="AR4" s="208"/>
      <c r="AS4" s="208"/>
    </row>
    <row r="5" spans="1:45" x14ac:dyDescent="0.2">
      <c r="A5" s="347" t="str">
        <f>'1. паспорт местоположение'!A5:C5</f>
        <v>Год раскрытия информации: 2024  год</v>
      </c>
      <c r="B5" s="347"/>
      <c r="C5" s="347"/>
      <c r="D5" s="347"/>
      <c r="E5" s="347"/>
      <c r="F5" s="347"/>
      <c r="G5" s="347"/>
      <c r="H5" s="347"/>
      <c r="I5" s="347"/>
      <c r="J5" s="347"/>
      <c r="K5" s="347"/>
      <c r="L5" s="347"/>
      <c r="M5" s="347"/>
      <c r="N5" s="347"/>
      <c r="O5" s="347"/>
      <c r="P5" s="347"/>
      <c r="Q5" s="212"/>
      <c r="R5" s="212"/>
      <c r="S5" s="212"/>
      <c r="T5" s="212"/>
      <c r="U5" s="212"/>
      <c r="V5" s="212"/>
      <c r="W5" s="212"/>
      <c r="X5" s="212"/>
      <c r="Y5" s="212"/>
      <c r="Z5" s="212"/>
      <c r="AA5" s="212"/>
      <c r="AB5" s="212"/>
      <c r="AC5" s="212"/>
      <c r="AD5" s="212"/>
      <c r="AE5" s="212"/>
      <c r="AF5" s="212"/>
      <c r="AG5" s="212"/>
      <c r="AH5" s="212"/>
      <c r="AI5" s="212"/>
      <c r="AJ5" s="212"/>
      <c r="AK5" s="212"/>
      <c r="AL5" s="212"/>
      <c r="AM5" s="212"/>
      <c r="AN5" s="212"/>
      <c r="AO5" s="212"/>
      <c r="AP5" s="207"/>
      <c r="AQ5" s="207"/>
      <c r="AR5" s="208"/>
      <c r="AS5" s="208"/>
    </row>
    <row r="6" spans="1:45" x14ac:dyDescent="0.2">
      <c r="A6" s="211"/>
      <c r="B6" s="203"/>
      <c r="C6" s="203"/>
      <c r="D6" s="203"/>
      <c r="E6" s="203"/>
      <c r="F6" s="203"/>
      <c r="G6" s="203"/>
      <c r="H6" s="203"/>
      <c r="I6" s="203"/>
      <c r="J6" s="203"/>
      <c r="K6" s="209"/>
      <c r="L6" s="203"/>
      <c r="M6" s="203"/>
      <c r="N6" s="203"/>
      <c r="O6" s="203"/>
      <c r="P6" s="203"/>
      <c r="Q6" s="204"/>
      <c r="R6" s="204"/>
      <c r="S6" s="204"/>
      <c r="T6" s="204"/>
      <c r="U6" s="204"/>
      <c r="V6" s="204"/>
      <c r="W6" s="204"/>
      <c r="X6" s="204"/>
      <c r="Y6" s="204"/>
      <c r="Z6" s="204"/>
      <c r="AA6" s="204"/>
      <c r="AB6" s="204"/>
      <c r="AC6" s="204"/>
      <c r="AD6" s="204"/>
      <c r="AE6" s="204"/>
      <c r="AF6" s="204"/>
      <c r="AG6" s="204"/>
      <c r="AH6" s="204"/>
      <c r="AI6" s="204"/>
      <c r="AJ6" s="204"/>
      <c r="AK6" s="204"/>
      <c r="AL6" s="204"/>
      <c r="AM6" s="204"/>
      <c r="AN6" s="204"/>
      <c r="AO6" s="204"/>
      <c r="AP6" s="207"/>
      <c r="AQ6" s="207"/>
      <c r="AR6" s="208"/>
      <c r="AS6" s="208"/>
    </row>
    <row r="7" spans="1:45" x14ac:dyDescent="0.2">
      <c r="A7" s="347" t="s">
        <v>7</v>
      </c>
      <c r="B7" s="347"/>
      <c r="C7" s="347"/>
      <c r="D7" s="347"/>
      <c r="E7" s="347"/>
      <c r="F7" s="347"/>
      <c r="G7" s="347"/>
      <c r="H7" s="347"/>
      <c r="I7" s="347"/>
      <c r="J7" s="347"/>
      <c r="K7" s="347"/>
      <c r="L7" s="347"/>
      <c r="M7" s="347"/>
      <c r="N7" s="347"/>
      <c r="O7" s="347"/>
      <c r="P7" s="347"/>
      <c r="Q7" s="213"/>
      <c r="R7" s="213"/>
      <c r="S7" s="213"/>
      <c r="T7" s="213"/>
      <c r="U7" s="213"/>
      <c r="V7" s="213"/>
      <c r="W7" s="213"/>
      <c r="X7" s="213"/>
      <c r="Y7" s="213"/>
      <c r="Z7" s="213"/>
      <c r="AA7" s="213"/>
      <c r="AB7" s="213"/>
      <c r="AC7" s="213"/>
      <c r="AD7" s="213"/>
      <c r="AE7" s="213"/>
      <c r="AF7" s="213"/>
      <c r="AG7" s="213"/>
      <c r="AH7" s="213"/>
      <c r="AI7" s="213"/>
      <c r="AJ7" s="213"/>
      <c r="AK7" s="213"/>
      <c r="AL7" s="213"/>
      <c r="AM7" s="213"/>
      <c r="AN7" s="213"/>
      <c r="AO7" s="213"/>
      <c r="AP7" s="207"/>
      <c r="AQ7" s="207"/>
      <c r="AR7" s="208"/>
      <c r="AS7" s="208"/>
    </row>
    <row r="8" spans="1:45" x14ac:dyDescent="0.2">
      <c r="A8" s="214"/>
      <c r="B8" s="214"/>
      <c r="C8" s="214"/>
      <c r="D8" s="214"/>
      <c r="E8" s="214"/>
      <c r="F8" s="214"/>
      <c r="G8" s="214"/>
      <c r="H8" s="214"/>
      <c r="I8" s="214"/>
      <c r="J8" s="214"/>
      <c r="K8" s="214"/>
      <c r="L8" s="212"/>
      <c r="M8" s="212"/>
      <c r="N8" s="212"/>
      <c r="O8" s="212"/>
      <c r="P8" s="212"/>
      <c r="Q8" s="213"/>
      <c r="R8" s="213"/>
      <c r="S8" s="213"/>
      <c r="T8" s="213"/>
      <c r="U8" s="213"/>
      <c r="V8" s="213"/>
      <c r="W8" s="213"/>
      <c r="X8" s="213"/>
      <c r="Y8" s="213"/>
      <c r="Z8" s="204"/>
      <c r="AA8" s="204"/>
      <c r="AB8" s="204"/>
      <c r="AC8" s="204"/>
      <c r="AD8" s="204"/>
      <c r="AE8" s="204"/>
      <c r="AF8" s="204"/>
      <c r="AG8" s="204"/>
      <c r="AH8" s="204"/>
      <c r="AI8" s="204"/>
      <c r="AJ8" s="204"/>
      <c r="AK8" s="204"/>
      <c r="AL8" s="204"/>
      <c r="AM8" s="204"/>
      <c r="AN8" s="204"/>
      <c r="AO8" s="204"/>
      <c r="AP8" s="207"/>
      <c r="AQ8" s="207"/>
      <c r="AR8" s="208"/>
      <c r="AS8" s="208"/>
    </row>
    <row r="9" spans="1:45" x14ac:dyDescent="0.2">
      <c r="A9" s="348" t="str">
        <f>'1. паспорт местоположение'!A9:C9</f>
        <v xml:space="preserve">Акционерное общество "Западная энергетическая компания" </v>
      </c>
      <c r="B9" s="348"/>
      <c r="C9" s="348"/>
      <c r="D9" s="348"/>
      <c r="E9" s="348"/>
      <c r="F9" s="348"/>
      <c r="G9" s="348"/>
      <c r="H9" s="348"/>
      <c r="I9" s="348"/>
      <c r="J9" s="348"/>
      <c r="K9" s="348"/>
      <c r="L9" s="348"/>
      <c r="M9" s="348"/>
      <c r="N9" s="348"/>
      <c r="O9" s="348"/>
      <c r="P9" s="348"/>
      <c r="Q9" s="215"/>
      <c r="R9" s="215"/>
      <c r="S9" s="215"/>
      <c r="T9" s="215"/>
      <c r="U9" s="215"/>
      <c r="V9" s="215"/>
      <c r="W9" s="215"/>
      <c r="X9" s="215"/>
      <c r="Y9" s="215"/>
      <c r="Z9" s="215"/>
      <c r="AA9" s="215"/>
      <c r="AB9" s="215"/>
      <c r="AC9" s="215"/>
      <c r="AD9" s="215"/>
      <c r="AE9" s="215"/>
      <c r="AF9" s="215"/>
      <c r="AG9" s="215"/>
      <c r="AH9" s="215"/>
      <c r="AI9" s="215"/>
      <c r="AJ9" s="215"/>
      <c r="AK9" s="215"/>
      <c r="AL9" s="215"/>
      <c r="AM9" s="215"/>
      <c r="AN9" s="215"/>
      <c r="AO9" s="215"/>
      <c r="AP9" s="207"/>
      <c r="AQ9" s="207"/>
      <c r="AR9" s="208"/>
      <c r="AS9" s="208"/>
    </row>
    <row r="10" spans="1:45" x14ac:dyDescent="0.2">
      <c r="A10" s="349" t="s">
        <v>6</v>
      </c>
      <c r="B10" s="349"/>
      <c r="C10" s="349"/>
      <c r="D10" s="349"/>
      <c r="E10" s="349"/>
      <c r="F10" s="349"/>
      <c r="G10" s="349"/>
      <c r="H10" s="349"/>
      <c r="I10" s="349"/>
      <c r="J10" s="349"/>
      <c r="K10" s="349"/>
      <c r="L10" s="349"/>
      <c r="M10" s="349"/>
      <c r="N10" s="349"/>
      <c r="O10" s="349"/>
      <c r="P10" s="349"/>
      <c r="AD10" s="216"/>
      <c r="AE10" s="216"/>
      <c r="AF10" s="216"/>
      <c r="AG10" s="216"/>
      <c r="AH10" s="216"/>
      <c r="AI10" s="216"/>
      <c r="AJ10" s="216"/>
      <c r="AK10" s="216"/>
      <c r="AL10" s="216"/>
      <c r="AM10" s="216"/>
      <c r="AN10" s="216"/>
      <c r="AO10" s="216"/>
      <c r="AP10" s="207"/>
      <c r="AQ10" s="207"/>
      <c r="AR10" s="208"/>
      <c r="AS10" s="208"/>
    </row>
    <row r="11" spans="1:45" x14ac:dyDescent="0.2">
      <c r="A11" s="214"/>
      <c r="B11" s="214"/>
      <c r="C11" s="214"/>
      <c r="D11" s="214"/>
      <c r="E11" s="214"/>
      <c r="F11" s="214"/>
      <c r="G11" s="214"/>
      <c r="H11" s="214"/>
      <c r="I11" s="214"/>
      <c r="J11" s="214"/>
      <c r="K11" s="214"/>
      <c r="L11" s="212"/>
      <c r="M11" s="212"/>
      <c r="N11" s="212"/>
      <c r="O11" s="212"/>
      <c r="P11" s="212"/>
      <c r="Q11" s="213"/>
      <c r="R11" s="213"/>
      <c r="S11" s="213"/>
      <c r="T11" s="213"/>
      <c r="U11" s="213"/>
      <c r="V11" s="213"/>
      <c r="W11" s="213"/>
      <c r="X11" s="213"/>
      <c r="Y11" s="213"/>
      <c r="Z11" s="204"/>
      <c r="AA11" s="204"/>
      <c r="AB11" s="204"/>
      <c r="AC11" s="204"/>
      <c r="AD11" s="204"/>
      <c r="AE11" s="204"/>
      <c r="AF11" s="204"/>
      <c r="AG11" s="204"/>
      <c r="AH11" s="204"/>
      <c r="AI11" s="204"/>
      <c r="AJ11" s="204"/>
      <c r="AK11" s="204"/>
      <c r="AL11" s="204"/>
      <c r="AM11" s="204"/>
      <c r="AN11" s="204"/>
      <c r="AO11" s="204"/>
      <c r="AP11" s="207"/>
      <c r="AQ11" s="207"/>
      <c r="AR11" s="208"/>
      <c r="AS11" s="208"/>
    </row>
    <row r="12" spans="1:45" x14ac:dyDescent="0.2">
      <c r="A12" s="348" t="str">
        <f>'1. паспорт местоположение'!A12:C12</f>
        <v>J 19-09</v>
      </c>
      <c r="B12" s="348"/>
      <c r="C12" s="348"/>
      <c r="D12" s="348"/>
      <c r="E12" s="348"/>
      <c r="F12" s="348"/>
      <c r="G12" s="348"/>
      <c r="H12" s="348"/>
      <c r="I12" s="348"/>
      <c r="J12" s="348"/>
      <c r="K12" s="348"/>
      <c r="L12" s="348"/>
      <c r="M12" s="348"/>
      <c r="N12" s="348"/>
      <c r="O12" s="348"/>
      <c r="P12" s="348"/>
      <c r="Q12" s="215"/>
      <c r="R12" s="215"/>
      <c r="S12" s="215"/>
      <c r="T12" s="215"/>
      <c r="U12" s="215"/>
      <c r="V12" s="215"/>
      <c r="W12" s="215"/>
      <c r="X12" s="215"/>
      <c r="Y12" s="215"/>
      <c r="Z12" s="215"/>
      <c r="AA12" s="215"/>
      <c r="AB12" s="215"/>
      <c r="AC12" s="215"/>
      <c r="AD12" s="215"/>
      <c r="AE12" s="215"/>
      <c r="AF12" s="215"/>
      <c r="AG12" s="215"/>
      <c r="AH12" s="215"/>
      <c r="AI12" s="215"/>
      <c r="AJ12" s="215"/>
      <c r="AK12" s="215"/>
      <c r="AL12" s="215"/>
      <c r="AM12" s="215"/>
      <c r="AN12" s="215"/>
      <c r="AO12" s="215"/>
      <c r="AP12" s="207"/>
      <c r="AQ12" s="207"/>
      <c r="AR12" s="208"/>
      <c r="AS12" s="208"/>
    </row>
    <row r="13" spans="1:45" x14ac:dyDescent="0.2">
      <c r="A13" s="349" t="s">
        <v>5</v>
      </c>
      <c r="B13" s="349"/>
      <c r="C13" s="349"/>
      <c r="D13" s="349"/>
      <c r="E13" s="349"/>
      <c r="F13" s="349"/>
      <c r="G13" s="349"/>
      <c r="H13" s="349"/>
      <c r="I13" s="349"/>
      <c r="J13" s="349"/>
      <c r="K13" s="349"/>
      <c r="L13" s="349"/>
      <c r="M13" s="349"/>
      <c r="N13" s="349"/>
      <c r="O13" s="349"/>
      <c r="P13" s="349"/>
      <c r="AD13" s="216"/>
      <c r="AE13" s="216"/>
      <c r="AF13" s="216"/>
      <c r="AG13" s="216"/>
      <c r="AH13" s="216"/>
      <c r="AI13" s="216"/>
      <c r="AJ13" s="216"/>
      <c r="AK13" s="216"/>
      <c r="AL13" s="216"/>
      <c r="AM13" s="216"/>
      <c r="AN13" s="216"/>
      <c r="AO13" s="216"/>
      <c r="AP13" s="207"/>
      <c r="AQ13" s="207"/>
      <c r="AR13" s="208"/>
      <c r="AS13" s="208"/>
    </row>
    <row r="14" spans="1:45" x14ac:dyDescent="0.2">
      <c r="A14" s="217"/>
      <c r="B14" s="217"/>
      <c r="C14" s="217"/>
      <c r="D14" s="217"/>
      <c r="E14" s="217"/>
      <c r="F14" s="217"/>
      <c r="G14" s="217"/>
      <c r="H14" s="217"/>
      <c r="I14" s="217"/>
      <c r="J14" s="217"/>
      <c r="K14" s="217"/>
      <c r="L14" s="217"/>
      <c r="M14" s="217"/>
      <c r="N14" s="217"/>
      <c r="O14" s="217"/>
      <c r="P14" s="217"/>
      <c r="Q14" s="218"/>
      <c r="R14" s="218"/>
      <c r="S14" s="218"/>
      <c r="T14" s="218"/>
      <c r="U14" s="218"/>
      <c r="V14" s="218"/>
      <c r="W14" s="218"/>
      <c r="X14" s="218"/>
      <c r="Y14" s="218"/>
      <c r="Z14" s="204"/>
      <c r="AA14" s="204"/>
      <c r="AB14" s="204"/>
      <c r="AC14" s="204"/>
      <c r="AD14" s="204"/>
      <c r="AE14" s="204"/>
      <c r="AF14" s="204"/>
      <c r="AG14" s="204"/>
      <c r="AH14" s="204"/>
      <c r="AI14" s="204"/>
      <c r="AJ14" s="204"/>
      <c r="AK14" s="204"/>
      <c r="AL14" s="204"/>
      <c r="AM14" s="204"/>
      <c r="AN14" s="204"/>
      <c r="AO14" s="204"/>
      <c r="AP14" s="207"/>
      <c r="AQ14" s="207"/>
      <c r="AR14" s="208"/>
      <c r="AS14" s="208"/>
    </row>
    <row r="15" spans="1:45" x14ac:dyDescent="0.2">
      <c r="A15" s="355" t="str">
        <f>'1. паспорт местоположение'!A15:C15</f>
        <v>Реконструкция ТП 15/6/0,4кВ  ТП-5 с заменой ячеек КРУ 15кВ с  маслянными выключателями SCI-20 ячейки  на КРУ-15кВ с вакуумными выключателями 9 шт., заменой ячеек КРУ 6 кВ с воздушными выключателями нагрузки на КРУ  с элегазовыми выключателями нагрузки;  с установкой 2-го трансформатора 15 кВ мощностью 0,8 МВА,с приростом мощности на 0,8 МВА; заменой трансформатора 6 кВ мощностью 0,18 МВА  на 0,25 МВА, с приростом мощности 0,07 МВА, в п.Северный, Багратионовского р-на</v>
      </c>
      <c r="B15" s="355"/>
      <c r="C15" s="355"/>
      <c r="D15" s="355"/>
      <c r="E15" s="355"/>
      <c r="F15" s="355"/>
      <c r="G15" s="355"/>
      <c r="H15" s="355"/>
      <c r="I15" s="355"/>
      <c r="J15" s="355"/>
      <c r="K15" s="355"/>
      <c r="L15" s="355"/>
      <c r="M15" s="355"/>
      <c r="N15" s="355"/>
      <c r="O15" s="355"/>
      <c r="P15" s="355"/>
      <c r="Q15" s="219"/>
      <c r="R15" s="219"/>
      <c r="S15" s="219"/>
      <c r="T15" s="219"/>
      <c r="U15" s="219"/>
      <c r="V15" s="219"/>
      <c r="W15" s="219"/>
      <c r="X15" s="219"/>
      <c r="Y15" s="219"/>
      <c r="Z15" s="219"/>
      <c r="AA15" s="219"/>
      <c r="AB15" s="219"/>
      <c r="AC15" s="219"/>
      <c r="AD15" s="219"/>
      <c r="AE15" s="219"/>
      <c r="AF15" s="219"/>
      <c r="AG15" s="219"/>
      <c r="AH15" s="219"/>
      <c r="AI15" s="219"/>
      <c r="AJ15" s="219"/>
      <c r="AK15" s="219"/>
      <c r="AL15" s="219"/>
      <c r="AM15" s="219"/>
      <c r="AN15" s="219"/>
      <c r="AO15" s="219"/>
      <c r="AP15" s="207"/>
      <c r="AQ15" s="207"/>
      <c r="AR15" s="208"/>
      <c r="AS15" s="208"/>
    </row>
    <row r="16" spans="1:45" x14ac:dyDescent="0.2">
      <c r="A16" s="356" t="s">
        <v>4</v>
      </c>
      <c r="B16" s="356"/>
      <c r="C16" s="356"/>
      <c r="D16" s="356"/>
      <c r="E16" s="356"/>
      <c r="F16" s="356"/>
      <c r="G16" s="356"/>
      <c r="H16" s="356"/>
      <c r="I16" s="356"/>
      <c r="J16" s="356"/>
      <c r="K16" s="356"/>
      <c r="L16" s="356"/>
      <c r="M16" s="356"/>
      <c r="N16" s="356"/>
      <c r="O16" s="356"/>
      <c r="P16" s="356"/>
      <c r="AD16" s="216"/>
      <c r="AE16" s="216"/>
      <c r="AF16" s="216"/>
      <c r="AG16" s="216"/>
      <c r="AH16" s="216"/>
      <c r="AI16" s="216"/>
      <c r="AJ16" s="216"/>
      <c r="AK16" s="216"/>
      <c r="AL16" s="216"/>
      <c r="AM16" s="216"/>
      <c r="AN16" s="216"/>
      <c r="AO16" s="216"/>
      <c r="AP16" s="207"/>
      <c r="AQ16" s="207"/>
      <c r="AR16" s="208"/>
      <c r="AS16" s="208"/>
    </row>
    <row r="17" spans="1:45" x14ac:dyDescent="0.2">
      <c r="A17" s="218"/>
      <c r="B17" s="218"/>
      <c r="C17" s="218"/>
      <c r="D17" s="218"/>
      <c r="E17" s="218"/>
      <c r="F17" s="218"/>
      <c r="G17" s="218"/>
      <c r="H17" s="218"/>
      <c r="I17" s="218"/>
      <c r="J17" s="218"/>
      <c r="K17" s="218"/>
      <c r="L17" s="218"/>
      <c r="M17" s="218"/>
      <c r="N17" s="218"/>
      <c r="O17" s="218"/>
      <c r="P17" s="218"/>
      <c r="Q17" s="218"/>
      <c r="R17" s="218"/>
      <c r="S17" s="218"/>
      <c r="T17" s="218"/>
      <c r="U17" s="218"/>
      <c r="V17" s="218"/>
      <c r="W17" s="220"/>
      <c r="X17" s="220"/>
      <c r="Y17" s="220"/>
      <c r="Z17" s="220"/>
      <c r="AA17" s="220"/>
      <c r="AB17" s="220"/>
      <c r="AC17" s="220"/>
      <c r="AD17" s="220"/>
      <c r="AE17" s="220"/>
      <c r="AF17" s="220"/>
      <c r="AG17" s="220"/>
      <c r="AH17" s="220"/>
      <c r="AI17" s="220"/>
      <c r="AJ17" s="220"/>
      <c r="AK17" s="220"/>
      <c r="AL17" s="220"/>
      <c r="AM17" s="220"/>
      <c r="AN17" s="220"/>
      <c r="AO17" s="220"/>
      <c r="AP17" s="207"/>
      <c r="AQ17" s="207"/>
      <c r="AR17" s="208"/>
      <c r="AS17" s="208"/>
    </row>
    <row r="18" spans="1:45" x14ac:dyDescent="0.2">
      <c r="A18" s="357" t="s">
        <v>392</v>
      </c>
      <c r="B18" s="357"/>
      <c r="C18" s="357"/>
      <c r="D18" s="357"/>
      <c r="E18" s="357"/>
      <c r="F18" s="357"/>
      <c r="G18" s="357"/>
      <c r="H18" s="357"/>
      <c r="I18" s="357"/>
      <c r="J18" s="357"/>
      <c r="K18" s="357"/>
      <c r="L18" s="357"/>
      <c r="M18" s="357"/>
      <c r="N18" s="357"/>
      <c r="O18" s="357"/>
      <c r="P18" s="357"/>
      <c r="Q18" s="215"/>
      <c r="R18" s="215"/>
      <c r="S18" s="215"/>
      <c r="T18" s="215"/>
      <c r="U18" s="215"/>
      <c r="V18" s="215"/>
      <c r="W18" s="215"/>
      <c r="X18" s="215"/>
      <c r="Y18" s="215"/>
      <c r="Z18" s="215"/>
      <c r="AA18" s="215"/>
      <c r="AB18" s="215"/>
      <c r="AC18" s="215"/>
      <c r="AD18" s="215"/>
      <c r="AE18" s="215"/>
      <c r="AF18" s="215"/>
      <c r="AG18" s="215"/>
      <c r="AH18" s="215"/>
      <c r="AI18" s="215"/>
      <c r="AJ18" s="215"/>
      <c r="AK18" s="215"/>
      <c r="AL18" s="215"/>
      <c r="AM18" s="215"/>
      <c r="AN18" s="215"/>
      <c r="AO18" s="215"/>
      <c r="AP18" s="207"/>
      <c r="AQ18" s="207"/>
      <c r="AR18" s="208"/>
      <c r="AS18" s="208"/>
    </row>
    <row r="19" spans="1:45" x14ac:dyDescent="0.2">
      <c r="A19" s="221"/>
      <c r="B19" s="221"/>
      <c r="C19" s="221"/>
      <c r="D19" s="221"/>
      <c r="E19" s="221"/>
      <c r="F19" s="221"/>
      <c r="G19" s="221"/>
      <c r="H19" s="221"/>
      <c r="I19" s="221"/>
      <c r="J19" s="221"/>
      <c r="K19" s="221"/>
      <c r="L19" s="221"/>
      <c r="M19" s="221"/>
      <c r="N19" s="221"/>
      <c r="O19" s="221"/>
      <c r="P19" s="221"/>
      <c r="Q19" s="215"/>
      <c r="R19" s="215"/>
      <c r="S19" s="215"/>
      <c r="T19" s="215"/>
      <c r="U19" s="215"/>
      <c r="V19" s="215"/>
      <c r="W19" s="215"/>
      <c r="X19" s="215"/>
      <c r="Y19" s="215"/>
      <c r="Z19" s="215"/>
      <c r="AA19" s="215"/>
      <c r="AB19" s="215"/>
      <c r="AC19" s="215"/>
      <c r="AD19" s="215"/>
      <c r="AE19" s="215"/>
      <c r="AF19" s="215"/>
      <c r="AG19" s="215"/>
      <c r="AH19" s="215"/>
      <c r="AI19" s="215"/>
      <c r="AJ19" s="215"/>
      <c r="AK19" s="215"/>
      <c r="AL19" s="215"/>
      <c r="AM19" s="215"/>
      <c r="AN19" s="215"/>
      <c r="AO19" s="215"/>
      <c r="AP19" s="207"/>
      <c r="AQ19" s="207"/>
      <c r="AR19" s="208"/>
      <c r="AS19" s="208"/>
    </row>
    <row r="20" spans="1:45" x14ac:dyDescent="0.2">
      <c r="A20" s="221"/>
      <c r="B20" s="221"/>
      <c r="C20" s="221"/>
      <c r="D20" s="221"/>
      <c r="E20" s="221"/>
      <c r="F20" s="221"/>
      <c r="G20" s="221"/>
      <c r="H20" s="221"/>
      <c r="I20" s="221"/>
      <c r="J20" s="221"/>
      <c r="K20" s="221"/>
      <c r="L20" s="221"/>
      <c r="M20" s="221"/>
      <c r="N20" s="221"/>
      <c r="O20" s="221"/>
      <c r="P20" s="221"/>
      <c r="Q20" s="215"/>
      <c r="R20" s="215"/>
      <c r="S20" s="215"/>
      <c r="T20" s="215"/>
      <c r="U20" s="215"/>
      <c r="V20" s="215"/>
      <c r="W20" s="215"/>
      <c r="X20" s="215"/>
      <c r="Y20" s="215"/>
      <c r="Z20" s="215"/>
      <c r="AA20" s="215"/>
      <c r="AB20" s="215"/>
      <c r="AC20" s="215"/>
      <c r="AD20" s="215"/>
      <c r="AE20" s="215"/>
      <c r="AF20" s="215"/>
      <c r="AG20" s="215"/>
      <c r="AH20" s="215"/>
      <c r="AI20" s="215"/>
      <c r="AJ20" s="215"/>
      <c r="AK20" s="215"/>
      <c r="AL20" s="215"/>
      <c r="AM20" s="215"/>
      <c r="AN20" s="215"/>
      <c r="AO20" s="215"/>
      <c r="AP20" s="207"/>
      <c r="AQ20" s="207"/>
      <c r="AR20" s="208"/>
      <c r="AS20" s="208"/>
    </row>
    <row r="21" spans="1:45" x14ac:dyDescent="0.2">
      <c r="A21" s="222"/>
      <c r="N21" s="216"/>
      <c r="AP21" s="207"/>
      <c r="AQ21" s="207"/>
      <c r="AR21" s="208"/>
      <c r="AS21" s="208"/>
    </row>
    <row r="22" spans="1:45" x14ac:dyDescent="0.2">
      <c r="A22" s="213"/>
      <c r="N22" s="216"/>
      <c r="AP22" s="207"/>
      <c r="AQ22" s="207"/>
      <c r="AR22" s="208"/>
      <c r="AS22" s="208"/>
    </row>
    <row r="23" spans="1:45" ht="13.5" thickBot="1" x14ac:dyDescent="0.25">
      <c r="A23" s="223" t="s">
        <v>288</v>
      </c>
      <c r="B23" s="223" t="s">
        <v>1</v>
      </c>
      <c r="D23" s="224"/>
      <c r="N23" s="216"/>
    </row>
    <row r="24" spans="1:45" ht="15" x14ac:dyDescent="0.2">
      <c r="A24" s="225" t="s">
        <v>428</v>
      </c>
      <c r="B24" s="192">
        <f>'6.2. Паспорт фин осв ввод'!D30*1000000</f>
        <v>18831351.455790792</v>
      </c>
      <c r="N24" s="216"/>
    </row>
    <row r="25" spans="1:45" x14ac:dyDescent="0.2">
      <c r="A25" s="226" t="s">
        <v>286</v>
      </c>
      <c r="B25" s="227">
        <v>0</v>
      </c>
      <c r="N25" s="216"/>
    </row>
    <row r="26" spans="1:45" x14ac:dyDescent="0.2">
      <c r="A26" s="228" t="s">
        <v>284</v>
      </c>
      <c r="B26" s="227">
        <v>30</v>
      </c>
      <c r="D26" s="213" t="s">
        <v>287</v>
      </c>
      <c r="N26" s="216"/>
    </row>
    <row r="27" spans="1:45" ht="13.5" thickBot="1" x14ac:dyDescent="0.25">
      <c r="A27" s="229" t="s">
        <v>282</v>
      </c>
      <c r="B27" s="230">
        <v>1</v>
      </c>
      <c r="D27" s="352" t="s">
        <v>285</v>
      </c>
      <c r="E27" s="353"/>
      <c r="F27" s="354"/>
      <c r="G27" s="231" t="str">
        <f>IF(SUM(B89:AG89)=0,"не окупается",SUM(B89:AG89))</f>
        <v>не окупается</v>
      </c>
      <c r="H27" s="232"/>
      <c r="N27" s="216"/>
    </row>
    <row r="28" spans="1:45" ht="15" x14ac:dyDescent="0.2">
      <c r="A28" s="225" t="s">
        <v>281</v>
      </c>
      <c r="B28" s="192">
        <f>B24*0.001</f>
        <v>18831.351455790791</v>
      </c>
      <c r="D28" s="352" t="s">
        <v>283</v>
      </c>
      <c r="E28" s="353"/>
      <c r="F28" s="354"/>
      <c r="G28" s="231" t="str">
        <f>IF(SUM(B90:AG90)=0,"не окупается",SUM(B90:AG90))</f>
        <v>не окупается</v>
      </c>
      <c r="H28" s="232"/>
      <c r="N28" s="216"/>
    </row>
    <row r="29" spans="1:45" x14ac:dyDescent="0.2">
      <c r="A29" s="228" t="s">
        <v>429</v>
      </c>
      <c r="B29" s="227">
        <v>6</v>
      </c>
      <c r="D29" s="352" t="s">
        <v>613</v>
      </c>
      <c r="E29" s="353"/>
      <c r="F29" s="354"/>
      <c r="G29" s="233">
        <f>K87</f>
        <v>-23760611.962969944</v>
      </c>
      <c r="H29" s="234"/>
      <c r="N29" s="216"/>
    </row>
    <row r="30" spans="1:45" x14ac:dyDescent="0.2">
      <c r="A30" s="228" t="s">
        <v>280</v>
      </c>
      <c r="B30" s="227">
        <v>6</v>
      </c>
      <c r="D30" s="352"/>
      <c r="E30" s="353"/>
      <c r="F30" s="354"/>
      <c r="G30" s="235"/>
      <c r="H30" s="236"/>
      <c r="N30" s="216"/>
    </row>
    <row r="31" spans="1:45" x14ac:dyDescent="0.2">
      <c r="A31" s="228" t="s">
        <v>259</v>
      </c>
      <c r="B31" s="227">
        <v>0</v>
      </c>
      <c r="N31" s="216"/>
    </row>
    <row r="32" spans="1:45" x14ac:dyDescent="0.2">
      <c r="A32" s="228" t="s">
        <v>279</v>
      </c>
      <c r="B32" s="227">
        <v>1</v>
      </c>
      <c r="N32" s="216"/>
    </row>
    <row r="33" spans="1:31" x14ac:dyDescent="0.2">
      <c r="A33" s="228" t="s">
        <v>278</v>
      </c>
      <c r="B33" s="227">
        <v>1</v>
      </c>
      <c r="N33" s="216"/>
    </row>
    <row r="34" spans="1:31" x14ac:dyDescent="0.2">
      <c r="A34" s="237" t="s">
        <v>614</v>
      </c>
      <c r="B34" s="227">
        <f>B24*0.03</f>
        <v>564940.5436737237</v>
      </c>
      <c r="N34" s="216"/>
    </row>
    <row r="35" spans="1:31" ht="13.5" thickBot="1" x14ac:dyDescent="0.25">
      <c r="A35" s="238" t="s">
        <v>253</v>
      </c>
      <c r="B35" s="239">
        <v>0.2</v>
      </c>
      <c r="N35" s="216"/>
    </row>
    <row r="36" spans="1:31" x14ac:dyDescent="0.2">
      <c r="A36" s="225" t="s">
        <v>430</v>
      </c>
      <c r="B36" s="240">
        <v>0</v>
      </c>
      <c r="N36" s="216"/>
    </row>
    <row r="37" spans="1:31" x14ac:dyDescent="0.2">
      <c r="A37" s="226" t="s">
        <v>277</v>
      </c>
      <c r="B37" s="227"/>
      <c r="N37" s="216"/>
    </row>
    <row r="38" spans="1:31" ht="13.5" thickBot="1" x14ac:dyDescent="0.25">
      <c r="A38" s="237" t="s">
        <v>276</v>
      </c>
      <c r="B38" s="241"/>
      <c r="N38" s="216"/>
    </row>
    <row r="39" spans="1:31" x14ac:dyDescent="0.2">
      <c r="A39" s="242" t="s">
        <v>431</v>
      </c>
      <c r="B39" s="243">
        <v>1</v>
      </c>
      <c r="N39" s="216"/>
    </row>
    <row r="40" spans="1:31" x14ac:dyDescent="0.2">
      <c r="A40" s="244" t="s">
        <v>275</v>
      </c>
      <c r="B40" s="245"/>
      <c r="N40" s="216"/>
    </row>
    <row r="41" spans="1:31" x14ac:dyDescent="0.2">
      <c r="A41" s="244" t="s">
        <v>274</v>
      </c>
      <c r="B41" s="246"/>
      <c r="N41" s="216"/>
    </row>
    <row r="42" spans="1:31" x14ac:dyDescent="0.2">
      <c r="A42" s="244" t="s">
        <v>273</v>
      </c>
      <c r="B42" s="246">
        <v>0</v>
      </c>
      <c r="N42" s="216"/>
    </row>
    <row r="43" spans="1:31" x14ac:dyDescent="0.2">
      <c r="A43" s="244" t="s">
        <v>272</v>
      </c>
      <c r="B43" s="247">
        <v>0.2</v>
      </c>
      <c r="N43" s="216"/>
    </row>
    <row r="44" spans="1:31" x14ac:dyDescent="0.2">
      <c r="A44" s="244" t="s">
        <v>271</v>
      </c>
      <c r="B44" s="248">
        <v>1</v>
      </c>
      <c r="N44" s="216"/>
    </row>
    <row r="45" spans="1:31" ht="13.5" thickBot="1" x14ac:dyDescent="0.25">
      <c r="A45" s="249" t="s">
        <v>615</v>
      </c>
      <c r="B45" s="248">
        <f>B44*B43+B42*B41*(1-B35)</f>
        <v>0.2</v>
      </c>
      <c r="C45" s="250"/>
      <c r="N45" s="216"/>
    </row>
    <row r="46" spans="1:31" x14ac:dyDescent="0.2">
      <c r="A46" s="251" t="s">
        <v>270</v>
      </c>
      <c r="B46" s="252">
        <v>1</v>
      </c>
      <c r="C46" s="252">
        <v>2</v>
      </c>
      <c r="D46" s="252">
        <v>3</v>
      </c>
      <c r="E46" s="252">
        <v>4</v>
      </c>
      <c r="F46" s="252">
        <v>5</v>
      </c>
      <c r="G46" s="252">
        <v>6</v>
      </c>
      <c r="H46" s="252">
        <v>7</v>
      </c>
      <c r="I46" s="252">
        <v>8</v>
      </c>
      <c r="J46" s="252">
        <v>9</v>
      </c>
      <c r="K46" s="252">
        <v>10</v>
      </c>
      <c r="L46" s="252">
        <v>11</v>
      </c>
      <c r="M46" s="252">
        <v>12</v>
      </c>
      <c r="N46" s="252">
        <v>13</v>
      </c>
      <c r="O46" s="252">
        <v>14</v>
      </c>
      <c r="P46" s="252">
        <v>15</v>
      </c>
      <c r="Q46" s="252">
        <v>16</v>
      </c>
      <c r="R46" s="252">
        <v>17</v>
      </c>
      <c r="S46" s="252">
        <v>18</v>
      </c>
      <c r="T46" s="252">
        <v>19</v>
      </c>
      <c r="U46" s="252">
        <v>20</v>
      </c>
      <c r="V46" s="252">
        <v>21</v>
      </c>
      <c r="W46" s="252">
        <v>22</v>
      </c>
      <c r="X46" s="252">
        <v>23</v>
      </c>
      <c r="Y46" s="252">
        <v>24</v>
      </c>
      <c r="Z46" s="252">
        <v>25</v>
      </c>
      <c r="AA46" s="252">
        <v>26</v>
      </c>
      <c r="AB46" s="252">
        <v>27</v>
      </c>
      <c r="AC46" s="253">
        <v>28</v>
      </c>
      <c r="AD46" s="253">
        <v>29</v>
      </c>
      <c r="AE46" s="253">
        <v>30</v>
      </c>
    </row>
    <row r="47" spans="1:31" x14ac:dyDescent="0.2">
      <c r="A47" s="254" t="s">
        <v>269</v>
      </c>
      <c r="B47" s="255">
        <v>6.9688748240430004E-2</v>
      </c>
      <c r="C47" s="255">
        <v>5.2726091890100003E-2</v>
      </c>
      <c r="D47" s="255">
        <v>4.7619843182130001E-2</v>
      </c>
      <c r="E47" s="255">
        <v>4.57995653007E-2</v>
      </c>
      <c r="F47" s="255">
        <v>4.57995653007E-2</v>
      </c>
      <c r="G47" s="255">
        <v>4.57995653007E-2</v>
      </c>
      <c r="H47" s="255">
        <v>4.57995653007E-2</v>
      </c>
      <c r="I47" s="255">
        <v>4.57995653007E-2</v>
      </c>
      <c r="J47" s="255">
        <v>4.57995653007E-2</v>
      </c>
      <c r="K47" s="255">
        <v>4.57995653007E-2</v>
      </c>
      <c r="L47" s="255">
        <v>4.57995653007E-2</v>
      </c>
      <c r="M47" s="255">
        <v>4.57995653007E-2</v>
      </c>
      <c r="N47" s="255">
        <v>4.57995653007E-2</v>
      </c>
      <c r="O47" s="255">
        <v>4.57995653007E-2</v>
      </c>
      <c r="P47" s="255">
        <v>4.57995653007E-2</v>
      </c>
      <c r="Q47" s="255">
        <v>4.57995653007E-2</v>
      </c>
      <c r="R47" s="255">
        <v>4.57995653007E-2</v>
      </c>
      <c r="S47" s="255">
        <v>4.57995653007E-2</v>
      </c>
      <c r="T47" s="255">
        <v>4.57995653007E-2</v>
      </c>
      <c r="U47" s="255">
        <v>4.57995653007E-2</v>
      </c>
      <c r="V47" s="255">
        <v>4.57995653007E-2</v>
      </c>
      <c r="W47" s="255">
        <v>4.57995653007E-2</v>
      </c>
      <c r="X47" s="255">
        <v>4.57995653007E-2</v>
      </c>
      <c r="Y47" s="255">
        <v>4.57995653007E-2</v>
      </c>
      <c r="Z47" s="255">
        <v>4.57995653007E-2</v>
      </c>
      <c r="AA47" s="255">
        <v>4.57995653007E-2</v>
      </c>
      <c r="AB47" s="255">
        <v>4.57995653007E-2</v>
      </c>
      <c r="AC47" s="255">
        <v>4.57995653007E-2</v>
      </c>
      <c r="AD47" s="255">
        <v>4.57995653007E-2</v>
      </c>
      <c r="AE47" s="255">
        <v>4.57995653007E-2</v>
      </c>
    </row>
    <row r="48" spans="1:31" x14ac:dyDescent="0.2">
      <c r="A48" s="254" t="s">
        <v>268</v>
      </c>
      <c r="B48" s="256">
        <f>B47</f>
        <v>6.9688748240430004E-2</v>
      </c>
      <c r="C48" s="256">
        <f t="shared" ref="C48:AE48" si="0">(1+B48)*(1+C47)-1</f>
        <v>0.12608925547396099</v>
      </c>
      <c r="D48" s="256">
        <f t="shared" si="0"/>
        <v>0.17971344922871246</v>
      </c>
      <c r="E48" s="256">
        <f t="shared" si="0"/>
        <v>0.23374381238277686</v>
      </c>
      <c r="F48" s="256">
        <f t="shared" si="0"/>
        <v>0.29024874268233636</v>
      </c>
      <c r="G48" s="256">
        <f t="shared" si="0"/>
        <v>0.3493415742269621</v>
      </c>
      <c r="H48" s="256">
        <f t="shared" si="0"/>
        <v>0.41114083176871907</v>
      </c>
      <c r="I48" s="256">
        <f t="shared" si="0"/>
        <v>0.47577046844179449</v>
      </c>
      <c r="J48" s="256">
        <f t="shared" si="0"/>
        <v>0.54336011438003906</v>
      </c>
      <c r="K48" s="256">
        <f t="shared" si="0"/>
        <v>0.61404533672108341</v>
      </c>
      <c r="L48" s="256">
        <f t="shared" si="0"/>
        <v>0.68796791151853087</v>
      </c>
      <c r="M48" s="256">
        <f t="shared" si="0"/>
        <v>0.76527610810761004</v>
      </c>
      <c r="N48" s="256">
        <f t="shared" si="0"/>
        <v>0.84612498649465007</v>
      </c>
      <c r="O48" s="256">
        <f t="shared" si="0"/>
        <v>0.93067670836686567</v>
      </c>
      <c r="P48" s="256">
        <f t="shared" si="0"/>
        <v>1.0191008623462543</v>
      </c>
      <c r="Q48" s="256">
        <f t="shared" si="0"/>
        <v>1.1115748041399813</v>
      </c>
      <c r="R48" s="256">
        <f t="shared" si="0"/>
        <v>1.2082840122695031</v>
      </c>
      <c r="S48" s="256">
        <f t="shared" si="0"/>
        <v>1.3094224600919318</v>
      </c>
      <c r="T48" s="256">
        <f t="shared" si="0"/>
        <v>1.4151930048598151</v>
      </c>
      <c r="U48" s="256">
        <f t="shared" si="0"/>
        <v>1.525807794599686</v>
      </c>
      <c r="V48" s="256">
        <f t="shared" si="0"/>
        <v>1.6414886936254711</v>
      </c>
      <c r="W48" s="256">
        <f t="shared" si="0"/>
        <v>1.7624677275402316</v>
      </c>
      <c r="X48" s="256">
        <f t="shared" si="0"/>
        <v>1.8889875486187866</v>
      </c>
      <c r="Y48" s="256">
        <f t="shared" si="0"/>
        <v>2.0213019225046618</v>
      </c>
      <c r="Z48" s="256">
        <f t="shared" si="0"/>
        <v>2.1596762371975444</v>
      </c>
      <c r="AA48" s="256">
        <f t="shared" si="0"/>
        <v>2.3043880353521433</v>
      </c>
      <c r="AB48" s="256">
        <f t="shared" si="0"/>
        <v>2.4557275709561055</v>
      </c>
      <c r="AC48" s="256">
        <f t="shared" si="0"/>
        <v>2.613998391503539</v>
      </c>
      <c r="AD48" s="256">
        <f t="shared" si="0"/>
        <v>2.7795179468318301</v>
      </c>
      <c r="AE48" s="256">
        <f t="shared" si="0"/>
        <v>2.9526182258429219</v>
      </c>
    </row>
    <row r="49" spans="1:31" ht="13.5" thickBot="1" x14ac:dyDescent="0.25">
      <c r="A49" s="257" t="s">
        <v>432</v>
      </c>
      <c r="B49" s="258">
        <f>B24*1.2/2*0</f>
        <v>0</v>
      </c>
      <c r="C49" s="258">
        <v>0</v>
      </c>
      <c r="D49" s="258">
        <v>0</v>
      </c>
      <c r="E49" s="258">
        <v>0</v>
      </c>
      <c r="F49" s="258">
        <v>0</v>
      </c>
      <c r="G49" s="258">
        <v>0</v>
      </c>
      <c r="H49" s="258">
        <v>0</v>
      </c>
      <c r="I49" s="258">
        <v>0</v>
      </c>
      <c r="J49" s="258">
        <v>0</v>
      </c>
      <c r="K49" s="258">
        <v>0</v>
      </c>
      <c r="L49" s="258">
        <v>0</v>
      </c>
      <c r="M49" s="258">
        <v>0</v>
      </c>
      <c r="N49" s="258">
        <v>0</v>
      </c>
      <c r="O49" s="258">
        <v>0</v>
      </c>
      <c r="P49" s="258">
        <v>0</v>
      </c>
      <c r="Q49" s="258">
        <v>0</v>
      </c>
      <c r="R49" s="258">
        <v>0</v>
      </c>
      <c r="S49" s="258">
        <v>0</v>
      </c>
      <c r="T49" s="258">
        <v>0</v>
      </c>
      <c r="U49" s="258">
        <v>0</v>
      </c>
      <c r="V49" s="258">
        <v>0</v>
      </c>
      <c r="W49" s="258">
        <v>0</v>
      </c>
      <c r="X49" s="258">
        <v>0</v>
      </c>
      <c r="Y49" s="258">
        <v>0</v>
      </c>
      <c r="Z49" s="258">
        <v>0</v>
      </c>
      <c r="AA49" s="258">
        <v>0</v>
      </c>
      <c r="AB49" s="258">
        <v>0</v>
      </c>
      <c r="AC49" s="258">
        <v>0</v>
      </c>
      <c r="AD49" s="258">
        <v>0</v>
      </c>
      <c r="AE49" s="258">
        <v>0</v>
      </c>
    </row>
    <row r="50" spans="1:31" ht="13.5" thickBot="1" x14ac:dyDescent="0.25">
      <c r="A50" s="259"/>
      <c r="N50" s="216"/>
      <c r="AC50" s="260"/>
      <c r="AD50" s="260"/>
      <c r="AE50" s="260"/>
    </row>
    <row r="51" spans="1:31" x14ac:dyDescent="0.2">
      <c r="A51" s="261" t="s">
        <v>267</v>
      </c>
      <c r="B51" s="252">
        <v>1</v>
      </c>
      <c r="C51" s="252">
        <v>2</v>
      </c>
      <c r="D51" s="252">
        <v>3</v>
      </c>
      <c r="E51" s="252">
        <v>4</v>
      </c>
      <c r="F51" s="252">
        <v>5</v>
      </c>
      <c r="G51" s="252">
        <v>6</v>
      </c>
      <c r="H51" s="252">
        <v>7</v>
      </c>
      <c r="I51" s="252">
        <v>8</v>
      </c>
      <c r="J51" s="252">
        <v>9</v>
      </c>
      <c r="K51" s="252">
        <v>10</v>
      </c>
      <c r="L51" s="252">
        <v>11</v>
      </c>
      <c r="M51" s="252">
        <v>12</v>
      </c>
      <c r="N51" s="252">
        <v>13</v>
      </c>
      <c r="O51" s="252">
        <v>14</v>
      </c>
      <c r="P51" s="252">
        <v>15</v>
      </c>
      <c r="Q51" s="252">
        <v>16</v>
      </c>
      <c r="R51" s="252">
        <v>17</v>
      </c>
      <c r="S51" s="252">
        <v>18</v>
      </c>
      <c r="T51" s="252">
        <v>19</v>
      </c>
      <c r="U51" s="252">
        <v>20</v>
      </c>
      <c r="V51" s="252">
        <v>21</v>
      </c>
      <c r="W51" s="252">
        <v>22</v>
      </c>
      <c r="X51" s="252">
        <v>23</v>
      </c>
      <c r="Y51" s="252">
        <v>24</v>
      </c>
      <c r="Z51" s="252">
        <v>25</v>
      </c>
      <c r="AA51" s="252">
        <v>26</v>
      </c>
      <c r="AB51" s="252">
        <v>27</v>
      </c>
      <c r="AC51" s="252">
        <v>28</v>
      </c>
      <c r="AD51" s="252">
        <v>29</v>
      </c>
      <c r="AE51" s="252">
        <v>30</v>
      </c>
    </row>
    <row r="52" spans="1:31" x14ac:dyDescent="0.2">
      <c r="A52" s="254" t="s">
        <v>266</v>
      </c>
      <c r="B52" s="262">
        <v>0</v>
      </c>
      <c r="C52" s="262">
        <v>0</v>
      </c>
      <c r="D52" s="262">
        <v>0</v>
      </c>
      <c r="E52" s="262">
        <v>0</v>
      </c>
      <c r="F52" s="262">
        <v>0</v>
      </c>
      <c r="G52" s="262">
        <v>0</v>
      </c>
      <c r="H52" s="262">
        <v>0</v>
      </c>
      <c r="I52" s="262">
        <v>0</v>
      </c>
      <c r="J52" s="262">
        <v>0</v>
      </c>
      <c r="K52" s="262">
        <v>0</v>
      </c>
      <c r="L52" s="262">
        <v>0</v>
      </c>
      <c r="M52" s="262">
        <v>0</v>
      </c>
      <c r="N52" s="262">
        <v>0</v>
      </c>
      <c r="O52" s="262">
        <v>0</v>
      </c>
      <c r="P52" s="262">
        <v>0</v>
      </c>
      <c r="Q52" s="262">
        <v>0</v>
      </c>
      <c r="R52" s="262">
        <v>0</v>
      </c>
      <c r="S52" s="262">
        <v>0</v>
      </c>
      <c r="T52" s="262">
        <v>0</v>
      </c>
      <c r="U52" s="262">
        <v>0</v>
      </c>
      <c r="V52" s="262">
        <v>0</v>
      </c>
      <c r="W52" s="262">
        <v>0</v>
      </c>
      <c r="X52" s="262">
        <v>0</v>
      </c>
      <c r="Y52" s="262">
        <v>0</v>
      </c>
      <c r="Z52" s="262">
        <v>0</v>
      </c>
      <c r="AA52" s="262">
        <v>0</v>
      </c>
      <c r="AB52" s="262">
        <v>0</v>
      </c>
      <c r="AC52" s="263">
        <v>0</v>
      </c>
      <c r="AD52" s="263">
        <v>0</v>
      </c>
      <c r="AE52" s="263">
        <v>0</v>
      </c>
    </row>
    <row r="53" spans="1:31" x14ac:dyDescent="0.2">
      <c r="A53" s="254" t="s">
        <v>265</v>
      </c>
      <c r="B53" s="262">
        <v>0</v>
      </c>
      <c r="C53" s="262">
        <v>0</v>
      </c>
      <c r="D53" s="262">
        <v>0</v>
      </c>
      <c r="E53" s="262">
        <v>0</v>
      </c>
      <c r="F53" s="262">
        <v>0</v>
      </c>
      <c r="G53" s="262">
        <v>0</v>
      </c>
      <c r="H53" s="262">
        <v>0</v>
      </c>
      <c r="I53" s="262">
        <v>0</v>
      </c>
      <c r="J53" s="262">
        <v>0</v>
      </c>
      <c r="K53" s="262">
        <v>0</v>
      </c>
      <c r="L53" s="262">
        <v>0</v>
      </c>
      <c r="M53" s="262">
        <v>0</v>
      </c>
      <c r="N53" s="262">
        <v>0</v>
      </c>
      <c r="O53" s="262">
        <v>0</v>
      </c>
      <c r="P53" s="262">
        <v>0</v>
      </c>
      <c r="Q53" s="262">
        <v>0</v>
      </c>
      <c r="R53" s="262">
        <v>0</v>
      </c>
      <c r="S53" s="262">
        <v>0</v>
      </c>
      <c r="T53" s="262">
        <v>0</v>
      </c>
      <c r="U53" s="262">
        <v>0</v>
      </c>
      <c r="V53" s="262">
        <v>0</v>
      </c>
      <c r="W53" s="262">
        <v>0</v>
      </c>
      <c r="X53" s="262">
        <v>0</v>
      </c>
      <c r="Y53" s="262">
        <v>0</v>
      </c>
      <c r="Z53" s="262">
        <v>0</v>
      </c>
      <c r="AA53" s="262">
        <v>0</v>
      </c>
      <c r="AB53" s="262">
        <v>0</v>
      </c>
      <c r="AC53" s="263">
        <v>0</v>
      </c>
      <c r="AD53" s="263">
        <v>0</v>
      </c>
      <c r="AE53" s="263">
        <v>0</v>
      </c>
    </row>
    <row r="54" spans="1:31" x14ac:dyDescent="0.2">
      <c r="A54" s="254" t="s">
        <v>264</v>
      </c>
      <c r="B54" s="262">
        <v>0</v>
      </c>
      <c r="C54" s="262">
        <v>0</v>
      </c>
      <c r="D54" s="262">
        <v>0</v>
      </c>
      <c r="E54" s="262">
        <v>0</v>
      </c>
      <c r="F54" s="262">
        <v>0</v>
      </c>
      <c r="G54" s="262">
        <v>0</v>
      </c>
      <c r="H54" s="262">
        <v>0</v>
      </c>
      <c r="I54" s="262">
        <v>0</v>
      </c>
      <c r="J54" s="262">
        <v>0</v>
      </c>
      <c r="K54" s="262">
        <v>0</v>
      </c>
      <c r="L54" s="262">
        <v>0</v>
      </c>
      <c r="M54" s="262">
        <v>0</v>
      </c>
      <c r="N54" s="262">
        <v>0</v>
      </c>
      <c r="O54" s="262">
        <v>0</v>
      </c>
      <c r="P54" s="262">
        <v>0</v>
      </c>
      <c r="Q54" s="262">
        <v>0</v>
      </c>
      <c r="R54" s="262">
        <v>0</v>
      </c>
      <c r="S54" s="262">
        <v>0</v>
      </c>
      <c r="T54" s="262">
        <v>0</v>
      </c>
      <c r="U54" s="262">
        <v>0</v>
      </c>
      <c r="V54" s="262">
        <v>0</v>
      </c>
      <c r="W54" s="262">
        <v>0</v>
      </c>
      <c r="X54" s="262">
        <v>0</v>
      </c>
      <c r="Y54" s="262">
        <v>0</v>
      </c>
      <c r="Z54" s="262">
        <v>0</v>
      </c>
      <c r="AA54" s="262">
        <v>0</v>
      </c>
      <c r="AB54" s="262">
        <v>0</v>
      </c>
      <c r="AC54" s="263">
        <v>0</v>
      </c>
      <c r="AD54" s="263">
        <v>0</v>
      </c>
      <c r="AE54" s="263">
        <v>0</v>
      </c>
    </row>
    <row r="55" spans="1:31" ht="13.5" thickBot="1" x14ac:dyDescent="0.25">
      <c r="A55" s="257" t="s">
        <v>263</v>
      </c>
      <c r="B55" s="264">
        <v>0</v>
      </c>
      <c r="C55" s="264">
        <v>0</v>
      </c>
      <c r="D55" s="264">
        <v>0</v>
      </c>
      <c r="E55" s="264">
        <v>0</v>
      </c>
      <c r="F55" s="264">
        <v>0</v>
      </c>
      <c r="G55" s="264">
        <v>0</v>
      </c>
      <c r="H55" s="264">
        <v>0</v>
      </c>
      <c r="I55" s="264">
        <v>0</v>
      </c>
      <c r="J55" s="264">
        <v>0</v>
      </c>
      <c r="K55" s="264">
        <v>0</v>
      </c>
      <c r="L55" s="264">
        <v>0</v>
      </c>
      <c r="M55" s="264">
        <v>0</v>
      </c>
      <c r="N55" s="264">
        <v>0</v>
      </c>
      <c r="O55" s="264">
        <v>0</v>
      </c>
      <c r="P55" s="264">
        <v>0</v>
      </c>
      <c r="Q55" s="264">
        <v>0</v>
      </c>
      <c r="R55" s="264">
        <v>0</v>
      </c>
      <c r="S55" s="264">
        <v>0</v>
      </c>
      <c r="T55" s="264">
        <v>0</v>
      </c>
      <c r="U55" s="264">
        <v>0</v>
      </c>
      <c r="V55" s="264">
        <v>0</v>
      </c>
      <c r="W55" s="264">
        <v>0</v>
      </c>
      <c r="X55" s="264">
        <v>0</v>
      </c>
      <c r="Y55" s="264">
        <v>0</v>
      </c>
      <c r="Z55" s="264">
        <v>0</v>
      </c>
      <c r="AA55" s="264">
        <v>0</v>
      </c>
      <c r="AB55" s="264">
        <v>0</v>
      </c>
      <c r="AC55" s="265">
        <v>0</v>
      </c>
      <c r="AD55" s="265">
        <v>0</v>
      </c>
      <c r="AE55" s="265">
        <v>0</v>
      </c>
    </row>
    <row r="56" spans="1:31" ht="13.5" thickBot="1" x14ac:dyDescent="0.25">
      <c r="A56" s="259"/>
      <c r="B56" s="266"/>
      <c r="C56" s="266"/>
      <c r="D56" s="266"/>
      <c r="E56" s="266"/>
      <c r="F56" s="266"/>
      <c r="G56" s="266"/>
      <c r="H56" s="266"/>
      <c r="I56" s="266"/>
      <c r="J56" s="266"/>
      <c r="K56" s="266"/>
      <c r="L56" s="266"/>
      <c r="M56" s="266"/>
      <c r="N56" s="266"/>
      <c r="O56" s="266"/>
      <c r="P56" s="266"/>
      <c r="Q56" s="266"/>
      <c r="R56" s="266"/>
      <c r="S56" s="266"/>
      <c r="T56" s="266"/>
      <c r="U56" s="266"/>
      <c r="V56" s="266"/>
      <c r="W56" s="266"/>
      <c r="X56" s="266"/>
      <c r="Y56" s="266"/>
      <c r="Z56" s="266"/>
      <c r="AA56" s="266"/>
      <c r="AB56" s="266"/>
      <c r="AC56" s="267"/>
      <c r="AD56" s="267"/>
      <c r="AE56" s="267"/>
    </row>
    <row r="57" spans="1:31" ht="13.5" thickBot="1" x14ac:dyDescent="0.25">
      <c r="A57" s="261" t="s">
        <v>433</v>
      </c>
      <c r="B57" s="252">
        <v>1</v>
      </c>
      <c r="C57" s="252">
        <v>2</v>
      </c>
      <c r="D57" s="252">
        <v>3</v>
      </c>
      <c r="E57" s="252">
        <v>4</v>
      </c>
      <c r="F57" s="252">
        <v>5</v>
      </c>
      <c r="G57" s="252">
        <v>6</v>
      </c>
      <c r="H57" s="252">
        <v>7</v>
      </c>
      <c r="I57" s="252">
        <v>8</v>
      </c>
      <c r="J57" s="252">
        <v>9</v>
      </c>
      <c r="K57" s="252">
        <v>10</v>
      </c>
      <c r="L57" s="252">
        <v>11</v>
      </c>
      <c r="M57" s="252">
        <v>12</v>
      </c>
      <c r="N57" s="252">
        <v>13</v>
      </c>
      <c r="O57" s="252">
        <v>14</v>
      </c>
      <c r="P57" s="252">
        <v>15</v>
      </c>
      <c r="Q57" s="252">
        <v>16</v>
      </c>
      <c r="R57" s="252">
        <v>17</v>
      </c>
      <c r="S57" s="252">
        <v>18</v>
      </c>
      <c r="T57" s="252">
        <v>19</v>
      </c>
      <c r="U57" s="252">
        <v>20</v>
      </c>
      <c r="V57" s="252">
        <v>21</v>
      </c>
      <c r="W57" s="252">
        <v>22</v>
      </c>
      <c r="X57" s="252">
        <v>23</v>
      </c>
      <c r="Y57" s="252">
        <v>24</v>
      </c>
      <c r="Z57" s="252">
        <v>25</v>
      </c>
      <c r="AA57" s="252">
        <v>26</v>
      </c>
      <c r="AB57" s="252">
        <v>27</v>
      </c>
      <c r="AC57" s="252">
        <v>28</v>
      </c>
      <c r="AD57" s="252">
        <v>29</v>
      </c>
      <c r="AE57" s="252">
        <v>30</v>
      </c>
    </row>
    <row r="58" spans="1:31" x14ac:dyDescent="0.2">
      <c r="A58" s="261" t="s">
        <v>262</v>
      </c>
      <c r="B58" s="252">
        <f t="shared" ref="B58:AE58" si="1">B49*$B$27</f>
        <v>0</v>
      </c>
      <c r="C58" s="252">
        <f t="shared" si="1"/>
        <v>0</v>
      </c>
      <c r="D58" s="252">
        <f t="shared" si="1"/>
        <v>0</v>
      </c>
      <c r="E58" s="252">
        <f t="shared" si="1"/>
        <v>0</v>
      </c>
      <c r="F58" s="252">
        <f t="shared" si="1"/>
        <v>0</v>
      </c>
      <c r="G58" s="252">
        <f t="shared" si="1"/>
        <v>0</v>
      </c>
      <c r="H58" s="252">
        <f t="shared" si="1"/>
        <v>0</v>
      </c>
      <c r="I58" s="252">
        <f t="shared" si="1"/>
        <v>0</v>
      </c>
      <c r="J58" s="252">
        <f t="shared" si="1"/>
        <v>0</v>
      </c>
      <c r="K58" s="252">
        <f t="shared" si="1"/>
        <v>0</v>
      </c>
      <c r="L58" s="252">
        <f t="shared" si="1"/>
        <v>0</v>
      </c>
      <c r="M58" s="252">
        <f t="shared" si="1"/>
        <v>0</v>
      </c>
      <c r="N58" s="252">
        <f t="shared" si="1"/>
        <v>0</v>
      </c>
      <c r="O58" s="252">
        <f t="shared" si="1"/>
        <v>0</v>
      </c>
      <c r="P58" s="252">
        <f t="shared" si="1"/>
        <v>0</v>
      </c>
      <c r="Q58" s="252">
        <f t="shared" si="1"/>
        <v>0</v>
      </c>
      <c r="R58" s="252">
        <f t="shared" si="1"/>
        <v>0</v>
      </c>
      <c r="S58" s="252">
        <f t="shared" si="1"/>
        <v>0</v>
      </c>
      <c r="T58" s="252">
        <f t="shared" si="1"/>
        <v>0</v>
      </c>
      <c r="U58" s="252">
        <f t="shared" si="1"/>
        <v>0</v>
      </c>
      <c r="V58" s="252">
        <f t="shared" si="1"/>
        <v>0</v>
      </c>
      <c r="W58" s="252">
        <f t="shared" si="1"/>
        <v>0</v>
      </c>
      <c r="X58" s="252">
        <f t="shared" si="1"/>
        <v>0</v>
      </c>
      <c r="Y58" s="252">
        <f t="shared" si="1"/>
        <v>0</v>
      </c>
      <c r="Z58" s="252">
        <f t="shared" si="1"/>
        <v>0</v>
      </c>
      <c r="AA58" s="252">
        <f t="shared" si="1"/>
        <v>0</v>
      </c>
      <c r="AB58" s="252">
        <f t="shared" si="1"/>
        <v>0</v>
      </c>
      <c r="AC58" s="252">
        <f t="shared" si="1"/>
        <v>0</v>
      </c>
      <c r="AD58" s="252">
        <f t="shared" si="1"/>
        <v>0</v>
      </c>
      <c r="AE58" s="252">
        <f t="shared" si="1"/>
        <v>0</v>
      </c>
    </row>
    <row r="59" spans="1:31" x14ac:dyDescent="0.2">
      <c r="A59" s="254" t="s">
        <v>261</v>
      </c>
      <c r="B59" s="268">
        <f t="shared" ref="B59:AE59" si="2">SUM(B60:B65)</f>
        <v>0</v>
      </c>
      <c r="C59" s="268">
        <f t="shared" si="2"/>
        <v>0</v>
      </c>
      <c r="D59" s="268">
        <f t="shared" si="2"/>
        <v>-400480.0742931508</v>
      </c>
      <c r="E59" s="268">
        <f t="shared" si="2"/>
        <v>-386670.41655890428</v>
      </c>
      <c r="F59" s="268">
        <f t="shared" si="2"/>
        <v>-372860.75882465771</v>
      </c>
      <c r="G59" s="268">
        <f t="shared" si="2"/>
        <v>-359051.10109041113</v>
      </c>
      <c r="H59" s="268">
        <f t="shared" si="2"/>
        <v>-345241.44335616456</v>
      </c>
      <c r="I59" s="268">
        <f t="shared" si="2"/>
        <v>-350263.13707770879</v>
      </c>
      <c r="J59" s="268">
        <f t="shared" si="2"/>
        <v>-317622.12788767141</v>
      </c>
      <c r="K59" s="268">
        <f t="shared" si="2"/>
        <v>-981741.12256189331</v>
      </c>
      <c r="L59" s="268">
        <f t="shared" si="2"/>
        <v>-290002.81241917831</v>
      </c>
      <c r="M59" s="268">
        <f t="shared" si="2"/>
        <v>-276193.15468493174</v>
      </c>
      <c r="N59" s="268">
        <f t="shared" si="2"/>
        <v>-566195.96710410959</v>
      </c>
      <c r="O59" s="268">
        <f t="shared" si="2"/>
        <v>-267405.19067222939</v>
      </c>
      <c r="P59" s="268">
        <f t="shared" si="2"/>
        <v>-234764.18148219204</v>
      </c>
      <c r="Q59" s="268">
        <f t="shared" si="2"/>
        <v>-220954.52374794547</v>
      </c>
      <c r="R59" s="268">
        <f t="shared" si="2"/>
        <v>-207144.86601369889</v>
      </c>
      <c r="S59" s="268">
        <f t="shared" si="2"/>
        <v>-871263.86068792082</v>
      </c>
      <c r="T59" s="268">
        <f t="shared" si="2"/>
        <v>-179525.55054520574</v>
      </c>
      <c r="U59" s="268">
        <f t="shared" si="2"/>
        <v>-184547.24426674994</v>
      </c>
      <c r="V59" s="268">
        <f t="shared" si="2"/>
        <v>-151906.23507671256</v>
      </c>
      <c r="W59" s="268">
        <f t="shared" si="2"/>
        <v>-138096.57734246599</v>
      </c>
      <c r="X59" s="268">
        <f t="shared" si="2"/>
        <v>-124286.9196082194</v>
      </c>
      <c r="Y59" s="268">
        <f t="shared" si="2"/>
        <v>-110477.26187397282</v>
      </c>
      <c r="Z59" s="268">
        <f t="shared" si="2"/>
        <v>-96667.604139726231</v>
      </c>
      <c r="AA59" s="268">
        <f t="shared" si="2"/>
        <v>-760786.59881394811</v>
      </c>
      <c r="AB59" s="268">
        <f t="shared" si="2"/>
        <v>-69048.28867123308</v>
      </c>
      <c r="AC59" s="268">
        <f t="shared" si="2"/>
        <v>-55238.630936986498</v>
      </c>
      <c r="AD59" s="268">
        <f t="shared" si="2"/>
        <v>-41428.973202739922</v>
      </c>
      <c r="AE59" s="268">
        <f t="shared" si="2"/>
        <v>-27619.315468493347</v>
      </c>
    </row>
    <row r="60" spans="1:31" x14ac:dyDescent="0.2">
      <c r="A60" s="269" t="s">
        <v>260</v>
      </c>
      <c r="B60" s="262"/>
      <c r="C60" s="262"/>
      <c r="D60" s="262"/>
      <c r="E60" s="262"/>
      <c r="F60" s="262"/>
      <c r="G60" s="262"/>
      <c r="H60" s="262"/>
      <c r="I60" s="262">
        <f>-B28</f>
        <v>-18831.351455790791</v>
      </c>
      <c r="J60" s="262"/>
      <c r="K60" s="262"/>
      <c r="L60" s="262"/>
      <c r="M60" s="262"/>
      <c r="N60" s="262"/>
      <c r="O60" s="262">
        <f>I60</f>
        <v>-18831.351455790791</v>
      </c>
      <c r="P60" s="262"/>
      <c r="Q60" s="262"/>
      <c r="R60" s="262"/>
      <c r="S60" s="262"/>
      <c r="T60" s="262"/>
      <c r="U60" s="262">
        <f>O60</f>
        <v>-18831.351455790791</v>
      </c>
      <c r="V60" s="262"/>
      <c r="W60" s="262"/>
      <c r="X60" s="262"/>
      <c r="Y60" s="262"/>
      <c r="Z60" s="262"/>
      <c r="AA60" s="262"/>
      <c r="AB60" s="262"/>
      <c r="AC60" s="262"/>
      <c r="AD60" s="262"/>
      <c r="AE60" s="262"/>
    </row>
    <row r="61" spans="1:31" x14ac:dyDescent="0.2">
      <c r="A61" s="269" t="s">
        <v>259</v>
      </c>
      <c r="B61" s="262"/>
      <c r="C61" s="262"/>
      <c r="D61" s="262"/>
      <c r="E61" s="262"/>
      <c r="F61" s="262"/>
      <c r="G61" s="262"/>
      <c r="H61" s="262"/>
      <c r="I61" s="262"/>
      <c r="J61" s="262"/>
      <c r="K61" s="262">
        <f>-B34*1.2</f>
        <v>-677928.65240846842</v>
      </c>
      <c r="L61" s="262"/>
      <c r="M61" s="262"/>
      <c r="N61" s="262"/>
      <c r="O61" s="262"/>
      <c r="P61" s="262"/>
      <c r="Q61" s="262"/>
      <c r="R61" s="262"/>
      <c r="S61" s="262">
        <f>K61</f>
        <v>-677928.65240846842</v>
      </c>
      <c r="T61" s="262"/>
      <c r="U61" s="262"/>
      <c r="V61" s="262"/>
      <c r="W61" s="262"/>
      <c r="X61" s="262"/>
      <c r="Y61" s="262"/>
      <c r="Z61" s="262"/>
      <c r="AA61" s="270">
        <f>S61</f>
        <v>-677928.65240846842</v>
      </c>
      <c r="AB61" s="262"/>
      <c r="AC61" s="262"/>
      <c r="AD61" s="262"/>
      <c r="AE61" s="262"/>
    </row>
    <row r="62" spans="1:31" x14ac:dyDescent="0.2">
      <c r="A62" s="269" t="s">
        <v>614</v>
      </c>
      <c r="B62" s="262"/>
      <c r="C62" s="262"/>
      <c r="D62" s="262"/>
      <c r="E62" s="262"/>
      <c r="F62" s="262"/>
      <c r="G62" s="262"/>
      <c r="H62" s="262"/>
      <c r="I62" s="262"/>
      <c r="J62" s="262"/>
      <c r="K62" s="262"/>
      <c r="L62" s="262"/>
      <c r="M62" s="262"/>
      <c r="N62" s="262"/>
      <c r="O62" s="262"/>
      <c r="P62" s="262"/>
      <c r="Q62" s="262"/>
      <c r="R62" s="262"/>
      <c r="S62" s="262"/>
      <c r="T62" s="262"/>
      <c r="U62" s="262"/>
      <c r="V62" s="262"/>
      <c r="W62" s="262"/>
      <c r="X62" s="262"/>
      <c r="Y62" s="262"/>
      <c r="Z62" s="262"/>
      <c r="AA62" s="262"/>
      <c r="AB62" s="262"/>
      <c r="AC62" s="262"/>
      <c r="AD62" s="262"/>
      <c r="AE62" s="262"/>
    </row>
    <row r="63" spans="1:31" x14ac:dyDescent="0.2">
      <c r="A63" s="269" t="s">
        <v>430</v>
      </c>
      <c r="B63" s="271">
        <v>0</v>
      </c>
      <c r="C63" s="271">
        <v>0</v>
      </c>
      <c r="D63" s="271">
        <v>0</v>
      </c>
      <c r="E63" s="271">
        <v>0</v>
      </c>
      <c r="F63" s="271">
        <v>0</v>
      </c>
      <c r="G63" s="271">
        <v>0</v>
      </c>
      <c r="H63" s="271">
        <v>0</v>
      </c>
      <c r="I63" s="271">
        <v>0</v>
      </c>
      <c r="J63" s="271">
        <v>0</v>
      </c>
      <c r="K63" s="271">
        <v>0</v>
      </c>
      <c r="L63" s="271">
        <v>0</v>
      </c>
      <c r="M63" s="271">
        <v>0</v>
      </c>
      <c r="N63" s="271">
        <v>0</v>
      </c>
      <c r="O63" s="271">
        <v>0</v>
      </c>
      <c r="P63" s="271">
        <v>0</v>
      </c>
      <c r="Q63" s="271">
        <v>0</v>
      </c>
      <c r="R63" s="271">
        <v>0</v>
      </c>
      <c r="S63" s="271">
        <v>0</v>
      </c>
      <c r="T63" s="271">
        <v>0</v>
      </c>
      <c r="U63" s="271">
        <v>0</v>
      </c>
      <c r="V63" s="271">
        <v>0</v>
      </c>
      <c r="W63" s="271">
        <v>0</v>
      </c>
      <c r="X63" s="271">
        <v>0</v>
      </c>
      <c r="Y63" s="271">
        <v>0</v>
      </c>
      <c r="Z63" s="271">
        <v>0</v>
      </c>
      <c r="AA63" s="271">
        <v>0</v>
      </c>
      <c r="AB63" s="271">
        <v>0</v>
      </c>
      <c r="AC63" s="271">
        <v>0</v>
      </c>
      <c r="AD63" s="271">
        <v>0</v>
      </c>
      <c r="AE63" s="271">
        <v>0</v>
      </c>
    </row>
    <row r="64" spans="1:31" x14ac:dyDescent="0.2">
      <c r="A64" s="269" t="s">
        <v>430</v>
      </c>
      <c r="B64" s="271">
        <v>0</v>
      </c>
      <c r="C64" s="271">
        <v>0</v>
      </c>
      <c r="D64" s="271">
        <v>0</v>
      </c>
      <c r="E64" s="271">
        <v>0</v>
      </c>
      <c r="F64" s="271">
        <v>0</v>
      </c>
      <c r="G64" s="271">
        <v>0</v>
      </c>
      <c r="H64" s="271">
        <v>0</v>
      </c>
      <c r="I64" s="271">
        <v>0</v>
      </c>
      <c r="J64" s="271">
        <v>0</v>
      </c>
      <c r="K64" s="271">
        <v>0</v>
      </c>
      <c r="L64" s="271">
        <v>0</v>
      </c>
      <c r="M64" s="271">
        <v>0</v>
      </c>
      <c r="N64" s="271">
        <v>0</v>
      </c>
      <c r="O64" s="271">
        <v>0</v>
      </c>
      <c r="P64" s="271">
        <v>0</v>
      </c>
      <c r="Q64" s="271">
        <v>0</v>
      </c>
      <c r="R64" s="271">
        <v>0</v>
      </c>
      <c r="S64" s="271">
        <v>0</v>
      </c>
      <c r="T64" s="271">
        <v>0</v>
      </c>
      <c r="U64" s="271">
        <v>0</v>
      </c>
      <c r="V64" s="271">
        <v>0</v>
      </c>
      <c r="W64" s="271">
        <v>0</v>
      </c>
      <c r="X64" s="271">
        <v>0</v>
      </c>
      <c r="Y64" s="271">
        <v>0</v>
      </c>
      <c r="Z64" s="271">
        <v>0</v>
      </c>
      <c r="AA64" s="271">
        <v>0</v>
      </c>
      <c r="AB64" s="271">
        <v>0</v>
      </c>
      <c r="AC64" s="271">
        <v>0</v>
      </c>
      <c r="AD64" s="271">
        <v>0</v>
      </c>
      <c r="AE64" s="271">
        <v>0</v>
      </c>
    </row>
    <row r="65" spans="1:31" x14ac:dyDescent="0.2">
      <c r="A65" s="269" t="s">
        <v>616</v>
      </c>
      <c r="B65" s="271">
        <v>0</v>
      </c>
      <c r="C65" s="271">
        <v>0</v>
      </c>
      <c r="D65" s="271">
        <f>-($B$24+D67)*0.022</f>
        <v>-400480.0742931508</v>
      </c>
      <c r="E65" s="271">
        <f>-($B$24+E67+D67)*0.022</f>
        <v>-386670.41655890428</v>
      </c>
      <c r="F65" s="275">
        <f>-($B$24+F67+D67+E67)*0.022</f>
        <v>-372860.75882465771</v>
      </c>
      <c r="G65" s="275">
        <f>-($B$24+G67+E67+F67+D67)*0.022</f>
        <v>-359051.10109041113</v>
      </c>
      <c r="H65" s="275">
        <f>-($B$24+H67+F67+G67+E67+D67)*0.022</f>
        <v>-345241.44335616456</v>
      </c>
      <c r="I65" s="275">
        <f>-($B$24+I67+G67+H67+F67+D67+E67)*0.022</f>
        <v>-331431.78562191798</v>
      </c>
      <c r="J65" s="275">
        <f>-($B$24+D67+J67+H67+I67+G67+E67+F67)*0.022</f>
        <v>-317622.12788767141</v>
      </c>
      <c r="K65" s="275">
        <f>-($B$24+E67+K67+I67+J67+H67+F67+G67+D67)*0.022</f>
        <v>-303812.47015342489</v>
      </c>
      <c r="L65" s="275">
        <f>-($B$24+F67+L67+J67+K67+I67+G67+H67+D67+E67)*0.022</f>
        <v>-290002.81241917831</v>
      </c>
      <c r="M65" s="275">
        <f>-($B$24+G67+M67+K67+L67+J67+H67+I67+F67+E67+D67)*0.022</f>
        <v>-276193.15468493174</v>
      </c>
      <c r="N65" s="275">
        <f>(-$B$24+H67+N67+L67+M67+K67+I67+J67+G67+F67+E67+D67)*0.022</f>
        <v>-566195.96710410959</v>
      </c>
      <c r="O65" s="275">
        <f>-($B$24+I67+O67+M67+N67+L67+J67+K67+H67+G67+F67+D67+E67)*0.022</f>
        <v>-248573.83921643859</v>
      </c>
      <c r="P65" s="275">
        <f>-($B$24+J67+P67+N67+O67+M67+K67+L67+I67+H67+G67+E67+D67+F67)*0.022</f>
        <v>-234764.18148219204</v>
      </c>
      <c r="Q65" s="275">
        <f>-($B$24+K67+Q67+O67+P67+N67+L67+M67+J67+I67+H67+F67+G67+D67+E67)*0.022</f>
        <v>-220954.52374794547</v>
      </c>
      <c r="R65" s="275">
        <f>-($B$24+L67+R67+P67+Q67+O67+M67+N67+K67+J67+I67+G67+H67+E67+D67+F67)*0.022</f>
        <v>-207144.86601369889</v>
      </c>
      <c r="S65" s="275">
        <f>-($B$24+M67+S67+Q67+R67+P67+N67+O67+L67+K67+J67+H67+I67+F67+E67+D67+G67)*0.022</f>
        <v>-193335.20827945234</v>
      </c>
      <c r="T65" s="275">
        <f>-($B$24+N67+T67+R67+S67+Q67+O67+P67+M67+L67+K67+I67+J67+G67+F67+E67+D67+H67)*0.022</f>
        <v>-179525.55054520574</v>
      </c>
      <c r="U65" s="275">
        <f>-($B$24+O67+U67+S67+T67+R67+P67+Q67+N67+M67+L67+J67+K67+H67+G67+F67+E67+D67+I67)*0.022</f>
        <v>-165715.89281095917</v>
      </c>
      <c r="V65" s="275">
        <f>-($B$24+P67+V67+T67+U67+S67+Q67+R67+O67+N67+M67+K67+L67+I67+H67+G67+F67+D67+E67++J67)*0.022</f>
        <v>-151906.23507671256</v>
      </c>
      <c r="W65" s="275">
        <f>-($B$24+Q67+W67+U67+V67+T67+R67+S67+P67+O67+N67+L67+M67+J67+I67+H67+G67+E67+F67+D67+K67)*0.022</f>
        <v>-138096.57734246599</v>
      </c>
      <c r="X65" s="275">
        <f>-($B$24+R67+X67+V67+W67+U67+S67+T67+Q67+P67+O67+M67+N67+K67+J67+I67+H67+F67+G67+E67+D67+L67)*0.022</f>
        <v>-124286.9196082194</v>
      </c>
      <c r="Y65" s="275">
        <f>-($B$24+S67+Y67+W67+X67+V67+T67+U67+R67+Q67+P67+N67+O67+L67+K67+J67+I67+G67+H67+F67+E67+D67+M67)*0.022</f>
        <v>-110477.26187397282</v>
      </c>
      <c r="Z65" s="275">
        <f>-($B$24+T67+Z67+X67+Y67+W67+U67+V67+S67+R67+Q67+O67+P67+M67+L67+K67+J67+H67+I67+G67+F67+E67+D67+N67)*0.022</f>
        <v>-96667.604139726231</v>
      </c>
      <c r="AA65" s="275">
        <f>-($B$24+U67+AA67+Y67+Z67+X67+V67+W67+T67+S67+R67+P67+Q67+N67+M67+L67+K67+I67+J67+H67+G67+F67+E67+D67+O67)*0.022</f>
        <v>-82857.946405479655</v>
      </c>
      <c r="AB65" s="275">
        <f>-($B$24+V67+AB67+Z67+AA67+Y67+W67+X67+U67+T67+S67+Q67+R67+O67+N67+M67+L67+J67+K67+I67+H67+G67+F67+E67+D67+P67)*0.022</f>
        <v>-69048.28867123308</v>
      </c>
      <c r="AC65" s="275">
        <f>-($B$24+W67+AC67+AA67+AB67+Z67+X67+Y67+V67+U67+T67+R67+S67+P67+O67+N67+M67+K67+L67+J67+I67+H67+G67+F67+E67+D67+Q67)*0.022</f>
        <v>-55238.630936986498</v>
      </c>
      <c r="AD65" s="275">
        <f>-($B$24+X67+AD67+AB67+AC67+AA67+Y67+Z67+W67+V67+U67+S67+T67+Q67+P67+O67+N67+L67+M67+K67+J67+I67+H67+G67+F67+E67+D67+R67)*0.022</f>
        <v>-41428.973202739922</v>
      </c>
      <c r="AE65" s="275">
        <f>-($B$24+Y67+AE67+AC67+AD67+AB67+Z67+AA67+X67+W67+V67+T67+U67+R67+Q67+P67+O67+M67+N67+L67+K67+J67+I67+H67+G67+F67+E67+D67+S67)*0.022</f>
        <v>-27619.315468493347</v>
      </c>
    </row>
    <row r="66" spans="1:31" x14ac:dyDescent="0.2">
      <c r="A66" s="272" t="s">
        <v>617</v>
      </c>
      <c r="B66" s="273">
        <f t="shared" ref="B66:AE66" si="3">B58+B59</f>
        <v>0</v>
      </c>
      <c r="C66" s="273">
        <f t="shared" si="3"/>
        <v>0</v>
      </c>
      <c r="D66" s="273">
        <f t="shared" si="3"/>
        <v>-400480.0742931508</v>
      </c>
      <c r="E66" s="273">
        <f t="shared" si="3"/>
        <v>-386670.41655890428</v>
      </c>
      <c r="F66" s="273">
        <f t="shared" si="3"/>
        <v>-372860.75882465771</v>
      </c>
      <c r="G66" s="273">
        <f t="shared" si="3"/>
        <v>-359051.10109041113</v>
      </c>
      <c r="H66" s="273">
        <f t="shared" si="3"/>
        <v>-345241.44335616456</v>
      </c>
      <c r="I66" s="273">
        <f t="shared" si="3"/>
        <v>-350263.13707770879</v>
      </c>
      <c r="J66" s="273">
        <f t="shared" si="3"/>
        <v>-317622.12788767141</v>
      </c>
      <c r="K66" s="273">
        <f t="shared" si="3"/>
        <v>-981741.12256189331</v>
      </c>
      <c r="L66" s="273">
        <f t="shared" si="3"/>
        <v>-290002.81241917831</v>
      </c>
      <c r="M66" s="273">
        <f t="shared" si="3"/>
        <v>-276193.15468493174</v>
      </c>
      <c r="N66" s="273">
        <f t="shared" si="3"/>
        <v>-566195.96710410959</v>
      </c>
      <c r="O66" s="273">
        <f t="shared" si="3"/>
        <v>-267405.19067222939</v>
      </c>
      <c r="P66" s="273">
        <f t="shared" si="3"/>
        <v>-234764.18148219204</v>
      </c>
      <c r="Q66" s="273">
        <f t="shared" si="3"/>
        <v>-220954.52374794547</v>
      </c>
      <c r="R66" s="273">
        <f t="shared" si="3"/>
        <v>-207144.86601369889</v>
      </c>
      <c r="S66" s="273">
        <f t="shared" si="3"/>
        <v>-871263.86068792082</v>
      </c>
      <c r="T66" s="273">
        <f t="shared" si="3"/>
        <v>-179525.55054520574</v>
      </c>
      <c r="U66" s="273">
        <f t="shared" si="3"/>
        <v>-184547.24426674994</v>
      </c>
      <c r="V66" s="273">
        <f t="shared" si="3"/>
        <v>-151906.23507671256</v>
      </c>
      <c r="W66" s="273">
        <f t="shared" si="3"/>
        <v>-138096.57734246599</v>
      </c>
      <c r="X66" s="273">
        <f t="shared" si="3"/>
        <v>-124286.9196082194</v>
      </c>
      <c r="Y66" s="273">
        <f t="shared" si="3"/>
        <v>-110477.26187397282</v>
      </c>
      <c r="Z66" s="273">
        <f t="shared" si="3"/>
        <v>-96667.604139726231</v>
      </c>
      <c r="AA66" s="273">
        <f t="shared" si="3"/>
        <v>-760786.59881394811</v>
      </c>
      <c r="AB66" s="273">
        <f t="shared" si="3"/>
        <v>-69048.28867123308</v>
      </c>
      <c r="AC66" s="273">
        <f t="shared" si="3"/>
        <v>-55238.630936986498</v>
      </c>
      <c r="AD66" s="273">
        <f t="shared" si="3"/>
        <v>-41428.973202739922</v>
      </c>
      <c r="AE66" s="273">
        <f t="shared" si="3"/>
        <v>-27619.315468493347</v>
      </c>
    </row>
    <row r="67" spans="1:31" x14ac:dyDescent="0.2">
      <c r="A67" s="269" t="s">
        <v>255</v>
      </c>
      <c r="B67" s="274">
        <v>0</v>
      </c>
      <c r="C67" s="274">
        <v>0</v>
      </c>
      <c r="D67" s="274">
        <f>-(B24)*$B$27/$B$26</f>
        <v>-627711.71519302635</v>
      </c>
      <c r="E67" s="275">
        <f t="shared" ref="E67:AE67" si="4">D67</f>
        <v>-627711.71519302635</v>
      </c>
      <c r="F67" s="275">
        <f t="shared" si="4"/>
        <v>-627711.71519302635</v>
      </c>
      <c r="G67" s="275">
        <f t="shared" si="4"/>
        <v>-627711.71519302635</v>
      </c>
      <c r="H67" s="275">
        <f t="shared" si="4"/>
        <v>-627711.71519302635</v>
      </c>
      <c r="I67" s="275">
        <f t="shared" si="4"/>
        <v>-627711.71519302635</v>
      </c>
      <c r="J67" s="275">
        <f t="shared" si="4"/>
        <v>-627711.71519302635</v>
      </c>
      <c r="K67" s="275">
        <f t="shared" si="4"/>
        <v>-627711.71519302635</v>
      </c>
      <c r="L67" s="275">
        <f t="shared" si="4"/>
        <v>-627711.71519302635</v>
      </c>
      <c r="M67" s="275">
        <f t="shared" si="4"/>
        <v>-627711.71519302635</v>
      </c>
      <c r="N67" s="275">
        <f t="shared" si="4"/>
        <v>-627711.71519302635</v>
      </c>
      <c r="O67" s="275">
        <f t="shared" si="4"/>
        <v>-627711.71519302635</v>
      </c>
      <c r="P67" s="275">
        <f t="shared" si="4"/>
        <v>-627711.71519302635</v>
      </c>
      <c r="Q67" s="275">
        <f t="shared" si="4"/>
        <v>-627711.71519302635</v>
      </c>
      <c r="R67" s="275">
        <f t="shared" si="4"/>
        <v>-627711.71519302635</v>
      </c>
      <c r="S67" s="275">
        <f t="shared" si="4"/>
        <v>-627711.71519302635</v>
      </c>
      <c r="T67" s="275">
        <f t="shared" si="4"/>
        <v>-627711.71519302635</v>
      </c>
      <c r="U67" s="275">
        <f t="shared" si="4"/>
        <v>-627711.71519302635</v>
      </c>
      <c r="V67" s="275">
        <f t="shared" si="4"/>
        <v>-627711.71519302635</v>
      </c>
      <c r="W67" s="275">
        <f t="shared" si="4"/>
        <v>-627711.71519302635</v>
      </c>
      <c r="X67" s="275">
        <f t="shared" si="4"/>
        <v>-627711.71519302635</v>
      </c>
      <c r="Y67" s="275">
        <f t="shared" si="4"/>
        <v>-627711.71519302635</v>
      </c>
      <c r="Z67" s="275">
        <f t="shared" si="4"/>
        <v>-627711.71519302635</v>
      </c>
      <c r="AA67" s="275">
        <f t="shared" si="4"/>
        <v>-627711.71519302635</v>
      </c>
      <c r="AB67" s="275">
        <f t="shared" si="4"/>
        <v>-627711.71519302635</v>
      </c>
      <c r="AC67" s="275">
        <f t="shared" si="4"/>
        <v>-627711.71519302635</v>
      </c>
      <c r="AD67" s="275">
        <f t="shared" si="4"/>
        <v>-627711.71519302635</v>
      </c>
      <c r="AE67" s="275">
        <f t="shared" si="4"/>
        <v>-627711.71519302635</v>
      </c>
    </row>
    <row r="68" spans="1:31" x14ac:dyDescent="0.2">
      <c r="A68" s="272" t="s">
        <v>618</v>
      </c>
      <c r="B68" s="273">
        <f t="shared" ref="B68:AE68" si="5">B66+B67</f>
        <v>0</v>
      </c>
      <c r="C68" s="273">
        <f>C66+C67</f>
        <v>0</v>
      </c>
      <c r="D68" s="273">
        <f t="shared" si="5"/>
        <v>-1028191.7894861771</v>
      </c>
      <c r="E68" s="273">
        <f t="shared" si="5"/>
        <v>-1014382.1317519306</v>
      </c>
      <c r="F68" s="273">
        <f t="shared" si="5"/>
        <v>-1000572.4740176841</v>
      </c>
      <c r="G68" s="273">
        <f t="shared" si="5"/>
        <v>-986762.81628343742</v>
      </c>
      <c r="H68" s="273">
        <f t="shared" si="5"/>
        <v>-972953.15854919096</v>
      </c>
      <c r="I68" s="273">
        <f t="shared" si="5"/>
        <v>-977974.85227073519</v>
      </c>
      <c r="J68" s="273">
        <f t="shared" si="5"/>
        <v>-945333.84308069781</v>
      </c>
      <c r="K68" s="273">
        <f t="shared" si="5"/>
        <v>-1609452.8377549197</v>
      </c>
      <c r="L68" s="273">
        <f t="shared" si="5"/>
        <v>-917714.52761220466</v>
      </c>
      <c r="M68" s="273">
        <f t="shared" si="5"/>
        <v>-903904.86987795809</v>
      </c>
      <c r="N68" s="273">
        <f t="shared" si="5"/>
        <v>-1193907.6822971359</v>
      </c>
      <c r="O68" s="273">
        <f t="shared" si="5"/>
        <v>-895116.90586525574</v>
      </c>
      <c r="P68" s="273">
        <f t="shared" si="5"/>
        <v>-862475.89667521836</v>
      </c>
      <c r="Q68" s="273">
        <f t="shared" si="5"/>
        <v>-848666.23894097179</v>
      </c>
      <c r="R68" s="273">
        <f t="shared" si="5"/>
        <v>-834856.58120672521</v>
      </c>
      <c r="S68" s="273">
        <f t="shared" si="5"/>
        <v>-1498975.5758809471</v>
      </c>
      <c r="T68" s="273">
        <f t="shared" si="5"/>
        <v>-807237.26573823206</v>
      </c>
      <c r="U68" s="273">
        <f t="shared" si="5"/>
        <v>-812258.95945977629</v>
      </c>
      <c r="V68" s="273">
        <f t="shared" si="5"/>
        <v>-779617.95026973891</v>
      </c>
      <c r="W68" s="273">
        <f t="shared" si="5"/>
        <v>-765808.29253549234</v>
      </c>
      <c r="X68" s="273">
        <f t="shared" si="5"/>
        <v>-751998.63480124576</v>
      </c>
      <c r="Y68" s="273">
        <f t="shared" si="5"/>
        <v>-738188.97706699918</v>
      </c>
      <c r="Z68" s="273">
        <f t="shared" si="5"/>
        <v>-724379.31933275261</v>
      </c>
      <c r="AA68" s="273">
        <f t="shared" si="5"/>
        <v>-1388498.3140069745</v>
      </c>
      <c r="AB68" s="273">
        <f t="shared" si="5"/>
        <v>-696760.00386425946</v>
      </c>
      <c r="AC68" s="273">
        <f t="shared" si="5"/>
        <v>-682950.34613001288</v>
      </c>
      <c r="AD68" s="273">
        <f t="shared" si="5"/>
        <v>-669140.68839576631</v>
      </c>
      <c r="AE68" s="273">
        <f t="shared" si="5"/>
        <v>-655331.03066151973</v>
      </c>
    </row>
    <row r="69" spans="1:31" x14ac:dyDescent="0.2">
      <c r="A69" s="269" t="s">
        <v>254</v>
      </c>
      <c r="B69" s="271">
        <v>0</v>
      </c>
      <c r="C69" s="271">
        <v>0</v>
      </c>
      <c r="D69" s="271">
        <v>0</v>
      </c>
      <c r="E69" s="271">
        <v>0</v>
      </c>
      <c r="F69" s="271">
        <v>0</v>
      </c>
      <c r="G69" s="271">
        <v>0</v>
      </c>
      <c r="H69" s="271">
        <v>0</v>
      </c>
      <c r="I69" s="271">
        <v>0</v>
      </c>
      <c r="J69" s="271">
        <v>0</v>
      </c>
      <c r="K69" s="271">
        <v>0</v>
      </c>
      <c r="L69" s="271">
        <v>0</v>
      </c>
      <c r="M69" s="271">
        <v>0</v>
      </c>
      <c r="N69" s="271">
        <v>0</v>
      </c>
      <c r="O69" s="271">
        <v>0</v>
      </c>
      <c r="P69" s="271">
        <v>0</v>
      </c>
      <c r="Q69" s="271">
        <v>0</v>
      </c>
      <c r="R69" s="271">
        <v>0</v>
      </c>
      <c r="S69" s="271">
        <v>0</v>
      </c>
      <c r="T69" s="271">
        <v>0</v>
      </c>
      <c r="U69" s="271">
        <v>0</v>
      </c>
      <c r="V69" s="271">
        <v>0</v>
      </c>
      <c r="W69" s="271">
        <v>0</v>
      </c>
      <c r="X69" s="271">
        <v>0</v>
      </c>
      <c r="Y69" s="271">
        <v>0</v>
      </c>
      <c r="Z69" s="271">
        <v>0</v>
      </c>
      <c r="AA69" s="271">
        <v>0</v>
      </c>
      <c r="AB69" s="271">
        <v>0</v>
      </c>
      <c r="AC69" s="271">
        <v>0</v>
      </c>
      <c r="AD69" s="271">
        <v>0</v>
      </c>
      <c r="AE69" s="271">
        <v>0</v>
      </c>
    </row>
    <row r="70" spans="1:31" x14ac:dyDescent="0.2">
      <c r="A70" s="272" t="s">
        <v>258</v>
      </c>
      <c r="B70" s="273">
        <f t="shared" ref="B70:AE70" si="6">B68+B69</f>
        <v>0</v>
      </c>
      <c r="C70" s="273">
        <f t="shared" si="6"/>
        <v>0</v>
      </c>
      <c r="D70" s="273">
        <f t="shared" si="6"/>
        <v>-1028191.7894861771</v>
      </c>
      <c r="E70" s="273">
        <f t="shared" si="6"/>
        <v>-1014382.1317519306</v>
      </c>
      <c r="F70" s="273">
        <f t="shared" si="6"/>
        <v>-1000572.4740176841</v>
      </c>
      <c r="G70" s="273">
        <f t="shared" si="6"/>
        <v>-986762.81628343742</v>
      </c>
      <c r="H70" s="273">
        <f t="shared" si="6"/>
        <v>-972953.15854919096</v>
      </c>
      <c r="I70" s="273">
        <f t="shared" si="6"/>
        <v>-977974.85227073519</v>
      </c>
      <c r="J70" s="273">
        <f t="shared" si="6"/>
        <v>-945333.84308069781</v>
      </c>
      <c r="K70" s="273">
        <f t="shared" si="6"/>
        <v>-1609452.8377549197</v>
      </c>
      <c r="L70" s="273">
        <f t="shared" si="6"/>
        <v>-917714.52761220466</v>
      </c>
      <c r="M70" s="273">
        <f t="shared" si="6"/>
        <v>-903904.86987795809</v>
      </c>
      <c r="N70" s="273">
        <f t="shared" si="6"/>
        <v>-1193907.6822971359</v>
      </c>
      <c r="O70" s="273">
        <f t="shared" si="6"/>
        <v>-895116.90586525574</v>
      </c>
      <c r="P70" s="273">
        <f t="shared" si="6"/>
        <v>-862475.89667521836</v>
      </c>
      <c r="Q70" s="273">
        <f t="shared" si="6"/>
        <v>-848666.23894097179</v>
      </c>
      <c r="R70" s="273">
        <f t="shared" si="6"/>
        <v>-834856.58120672521</v>
      </c>
      <c r="S70" s="273">
        <f t="shared" si="6"/>
        <v>-1498975.5758809471</v>
      </c>
      <c r="T70" s="273">
        <f t="shared" si="6"/>
        <v>-807237.26573823206</v>
      </c>
      <c r="U70" s="273">
        <f t="shared" si="6"/>
        <v>-812258.95945977629</v>
      </c>
      <c r="V70" s="273">
        <f t="shared" si="6"/>
        <v>-779617.95026973891</v>
      </c>
      <c r="W70" s="273">
        <f t="shared" si="6"/>
        <v>-765808.29253549234</v>
      </c>
      <c r="X70" s="273">
        <f t="shared" si="6"/>
        <v>-751998.63480124576</v>
      </c>
      <c r="Y70" s="273">
        <f t="shared" si="6"/>
        <v>-738188.97706699918</v>
      </c>
      <c r="Z70" s="273">
        <f t="shared" si="6"/>
        <v>-724379.31933275261</v>
      </c>
      <c r="AA70" s="273">
        <f t="shared" si="6"/>
        <v>-1388498.3140069745</v>
      </c>
      <c r="AB70" s="273">
        <f t="shared" si="6"/>
        <v>-696760.00386425946</v>
      </c>
      <c r="AC70" s="273">
        <f t="shared" si="6"/>
        <v>-682950.34613001288</v>
      </c>
      <c r="AD70" s="273">
        <f t="shared" si="6"/>
        <v>-669140.68839576631</v>
      </c>
      <c r="AE70" s="273">
        <f t="shared" si="6"/>
        <v>-655331.03066151973</v>
      </c>
    </row>
    <row r="71" spans="1:31" x14ac:dyDescent="0.2">
      <c r="A71" s="269" t="s">
        <v>253</v>
      </c>
      <c r="B71" s="274">
        <f t="shared" ref="B71:AE71" si="7">-B70*$B$35</f>
        <v>0</v>
      </c>
      <c r="C71" s="274">
        <f t="shared" si="7"/>
        <v>0</v>
      </c>
      <c r="D71" s="274">
        <f t="shared" si="7"/>
        <v>205638.35789723543</v>
      </c>
      <c r="E71" s="274">
        <f t="shared" si="7"/>
        <v>202876.42635038611</v>
      </c>
      <c r="F71" s="274">
        <f t="shared" si="7"/>
        <v>200114.49480353683</v>
      </c>
      <c r="G71" s="274">
        <f t="shared" si="7"/>
        <v>197352.56325668748</v>
      </c>
      <c r="H71" s="274">
        <f t="shared" si="7"/>
        <v>194590.6317098382</v>
      </c>
      <c r="I71" s="274">
        <f t="shared" si="7"/>
        <v>195594.97045414706</v>
      </c>
      <c r="J71" s="274">
        <f t="shared" si="7"/>
        <v>189066.76861613957</v>
      </c>
      <c r="K71" s="274">
        <f t="shared" si="7"/>
        <v>321890.56755098398</v>
      </c>
      <c r="L71" s="274">
        <f t="shared" si="7"/>
        <v>183542.90552244094</v>
      </c>
      <c r="M71" s="274">
        <f t="shared" si="7"/>
        <v>180780.97397559162</v>
      </c>
      <c r="N71" s="274">
        <f t="shared" si="7"/>
        <v>238781.53645942721</v>
      </c>
      <c r="O71" s="274">
        <f t="shared" si="7"/>
        <v>179023.38117305117</v>
      </c>
      <c r="P71" s="274">
        <f t="shared" si="7"/>
        <v>172495.17933504368</v>
      </c>
      <c r="Q71" s="274">
        <f t="shared" si="7"/>
        <v>169733.24778819436</v>
      </c>
      <c r="R71" s="274">
        <f t="shared" si="7"/>
        <v>166971.31624134505</v>
      </c>
      <c r="S71" s="274">
        <f t="shared" si="7"/>
        <v>299795.1151761894</v>
      </c>
      <c r="T71" s="274">
        <f t="shared" si="7"/>
        <v>161447.45314764642</v>
      </c>
      <c r="U71" s="274">
        <f t="shared" si="7"/>
        <v>162451.79189195528</v>
      </c>
      <c r="V71" s="274">
        <f t="shared" si="7"/>
        <v>155923.59005394779</v>
      </c>
      <c r="W71" s="274">
        <f t="shared" si="7"/>
        <v>153161.65850709847</v>
      </c>
      <c r="X71" s="274">
        <f t="shared" si="7"/>
        <v>150399.72696024916</v>
      </c>
      <c r="Y71" s="274">
        <f t="shared" si="7"/>
        <v>147637.79541339984</v>
      </c>
      <c r="Z71" s="274">
        <f t="shared" si="7"/>
        <v>144875.86386655053</v>
      </c>
      <c r="AA71" s="274">
        <f t="shared" si="7"/>
        <v>277699.66280139488</v>
      </c>
      <c r="AB71" s="274">
        <f t="shared" si="7"/>
        <v>139352.0007728519</v>
      </c>
      <c r="AC71" s="274">
        <f t="shared" si="7"/>
        <v>136590.06922600258</v>
      </c>
      <c r="AD71" s="274">
        <f t="shared" si="7"/>
        <v>133828.13767915327</v>
      </c>
      <c r="AE71" s="274">
        <f t="shared" si="7"/>
        <v>131066.20613230395</v>
      </c>
    </row>
    <row r="72" spans="1:31" ht="13.5" thickBot="1" x14ac:dyDescent="0.25">
      <c r="A72" s="276" t="s">
        <v>257</v>
      </c>
      <c r="B72" s="277">
        <f t="shared" ref="B72:AE72" si="8">B70+B71</f>
        <v>0</v>
      </c>
      <c r="C72" s="277">
        <f t="shared" si="8"/>
        <v>0</v>
      </c>
      <c r="D72" s="277">
        <f t="shared" si="8"/>
        <v>-822553.43158894172</v>
      </c>
      <c r="E72" s="277">
        <f t="shared" si="8"/>
        <v>-811505.70540154446</v>
      </c>
      <c r="F72" s="277">
        <f t="shared" si="8"/>
        <v>-800457.97921414732</v>
      </c>
      <c r="G72" s="277">
        <f t="shared" si="8"/>
        <v>-789410.25302674994</v>
      </c>
      <c r="H72" s="277">
        <f t="shared" si="8"/>
        <v>-778362.52683935279</v>
      </c>
      <c r="I72" s="277">
        <f t="shared" si="8"/>
        <v>-782379.88181658811</v>
      </c>
      <c r="J72" s="277">
        <f t="shared" si="8"/>
        <v>-756267.07446455827</v>
      </c>
      <c r="K72" s="277">
        <f t="shared" si="8"/>
        <v>-1287562.2702039357</v>
      </c>
      <c r="L72" s="277">
        <f t="shared" si="8"/>
        <v>-734171.62208976375</v>
      </c>
      <c r="M72" s="277">
        <f t="shared" si="8"/>
        <v>-723123.89590236649</v>
      </c>
      <c r="N72" s="277">
        <f t="shared" si="8"/>
        <v>-955126.14583770873</v>
      </c>
      <c r="O72" s="277">
        <f t="shared" si="8"/>
        <v>-716093.52469220455</v>
      </c>
      <c r="P72" s="277">
        <f t="shared" si="8"/>
        <v>-689980.71734017471</v>
      </c>
      <c r="Q72" s="277">
        <f t="shared" si="8"/>
        <v>-678932.99115277745</v>
      </c>
      <c r="R72" s="277">
        <f t="shared" si="8"/>
        <v>-667885.26496538019</v>
      </c>
      <c r="S72" s="277">
        <f t="shared" si="8"/>
        <v>-1199180.4607047576</v>
      </c>
      <c r="T72" s="277">
        <f t="shared" si="8"/>
        <v>-645789.81259058567</v>
      </c>
      <c r="U72" s="277">
        <f t="shared" si="8"/>
        <v>-649807.16756782099</v>
      </c>
      <c r="V72" s="277">
        <f t="shared" si="8"/>
        <v>-623694.36021579115</v>
      </c>
      <c r="W72" s="277">
        <f t="shared" si="8"/>
        <v>-612646.63402839389</v>
      </c>
      <c r="X72" s="277">
        <f t="shared" si="8"/>
        <v>-601598.90784099663</v>
      </c>
      <c r="Y72" s="277">
        <f t="shared" si="8"/>
        <v>-590551.18165359937</v>
      </c>
      <c r="Z72" s="277">
        <f t="shared" si="8"/>
        <v>-579503.45546620211</v>
      </c>
      <c r="AA72" s="277">
        <f t="shared" si="8"/>
        <v>-1110798.6512055795</v>
      </c>
      <c r="AB72" s="277">
        <f t="shared" si="8"/>
        <v>-557408.00309140759</v>
      </c>
      <c r="AC72" s="277">
        <f t="shared" si="8"/>
        <v>-546360.27690401033</v>
      </c>
      <c r="AD72" s="277">
        <f t="shared" si="8"/>
        <v>-535312.55071661307</v>
      </c>
      <c r="AE72" s="277">
        <f t="shared" si="8"/>
        <v>-524264.82452921581</v>
      </c>
    </row>
    <row r="73" spans="1:31" ht="13.5" thickBot="1" x14ac:dyDescent="0.25">
      <c r="A73" s="259"/>
      <c r="B73" s="278">
        <v>0.5</v>
      </c>
      <c r="C73" s="278">
        <v>1.5</v>
      </c>
      <c r="D73" s="278">
        <v>2.5</v>
      </c>
      <c r="E73" s="278">
        <v>3.5</v>
      </c>
      <c r="F73" s="278">
        <v>4.5</v>
      </c>
      <c r="G73" s="278">
        <v>5.5</v>
      </c>
      <c r="H73" s="278">
        <v>6.5</v>
      </c>
      <c r="I73" s="278">
        <v>7.5</v>
      </c>
      <c r="J73" s="278">
        <v>8.5</v>
      </c>
      <c r="K73" s="278">
        <v>9.5</v>
      </c>
      <c r="L73" s="278">
        <v>10.5</v>
      </c>
      <c r="M73" s="278">
        <v>11.5</v>
      </c>
      <c r="N73" s="278">
        <v>12.5</v>
      </c>
      <c r="O73" s="278">
        <v>13.5</v>
      </c>
      <c r="P73" s="278">
        <v>14.5</v>
      </c>
      <c r="Q73" s="278">
        <v>15.5</v>
      </c>
      <c r="R73" s="278">
        <v>16.5</v>
      </c>
      <c r="S73" s="278">
        <v>17.5</v>
      </c>
      <c r="T73" s="278">
        <v>18.5</v>
      </c>
      <c r="U73" s="278">
        <v>19.5</v>
      </c>
      <c r="V73" s="278">
        <v>20.5</v>
      </c>
      <c r="W73" s="278">
        <v>21.5</v>
      </c>
      <c r="X73" s="278">
        <v>22.5</v>
      </c>
      <c r="Y73" s="278">
        <v>23.5</v>
      </c>
      <c r="Z73" s="278">
        <v>24.5</v>
      </c>
      <c r="AA73" s="278">
        <v>25.5</v>
      </c>
      <c r="AB73" s="278">
        <v>26.5</v>
      </c>
      <c r="AC73" s="278">
        <v>27.5</v>
      </c>
      <c r="AD73" s="278">
        <v>28.5</v>
      </c>
      <c r="AE73" s="278">
        <v>29.5</v>
      </c>
    </row>
    <row r="74" spans="1:31" x14ac:dyDescent="0.2">
      <c r="A74" s="261" t="s">
        <v>256</v>
      </c>
      <c r="B74" s="252">
        <v>1</v>
      </c>
      <c r="C74" s="252">
        <v>2</v>
      </c>
      <c r="D74" s="252">
        <v>3</v>
      </c>
      <c r="E74" s="252">
        <v>4</v>
      </c>
      <c r="F74" s="252">
        <v>5</v>
      </c>
      <c r="G74" s="252">
        <v>6</v>
      </c>
      <c r="H74" s="252">
        <v>7</v>
      </c>
      <c r="I74" s="252">
        <v>8</v>
      </c>
      <c r="J74" s="252">
        <v>9</v>
      </c>
      <c r="K74" s="252">
        <v>10</v>
      </c>
      <c r="L74" s="252">
        <v>11</v>
      </c>
      <c r="M74" s="252">
        <v>12</v>
      </c>
      <c r="N74" s="252">
        <v>13</v>
      </c>
      <c r="O74" s="252">
        <v>14</v>
      </c>
      <c r="P74" s="252">
        <v>15</v>
      </c>
      <c r="Q74" s="252">
        <v>16</v>
      </c>
      <c r="R74" s="252">
        <v>17</v>
      </c>
      <c r="S74" s="252">
        <v>18</v>
      </c>
      <c r="T74" s="252">
        <v>19</v>
      </c>
      <c r="U74" s="252">
        <v>20</v>
      </c>
      <c r="V74" s="252">
        <v>21</v>
      </c>
      <c r="W74" s="252">
        <v>22</v>
      </c>
      <c r="X74" s="252">
        <v>23</v>
      </c>
      <c r="Y74" s="252">
        <v>24</v>
      </c>
      <c r="Z74" s="252">
        <v>25</v>
      </c>
      <c r="AA74" s="252">
        <v>26</v>
      </c>
      <c r="AB74" s="252">
        <v>27</v>
      </c>
      <c r="AC74" s="252">
        <v>28</v>
      </c>
      <c r="AD74" s="252">
        <v>29</v>
      </c>
      <c r="AE74" s="252">
        <v>30</v>
      </c>
    </row>
    <row r="75" spans="1:31" x14ac:dyDescent="0.2">
      <c r="A75" s="279" t="s">
        <v>618</v>
      </c>
      <c r="B75" s="273">
        <f t="shared" ref="B75:AE75" si="9">B68</f>
        <v>0</v>
      </c>
      <c r="C75" s="273">
        <f t="shared" si="9"/>
        <v>0</v>
      </c>
      <c r="D75" s="273">
        <f t="shared" si="9"/>
        <v>-1028191.7894861771</v>
      </c>
      <c r="E75" s="273">
        <f t="shared" si="9"/>
        <v>-1014382.1317519306</v>
      </c>
      <c r="F75" s="273">
        <f t="shared" si="9"/>
        <v>-1000572.4740176841</v>
      </c>
      <c r="G75" s="273">
        <f t="shared" si="9"/>
        <v>-986762.81628343742</v>
      </c>
      <c r="H75" s="273">
        <f t="shared" si="9"/>
        <v>-972953.15854919096</v>
      </c>
      <c r="I75" s="273">
        <f t="shared" si="9"/>
        <v>-977974.85227073519</v>
      </c>
      <c r="J75" s="273">
        <f t="shared" si="9"/>
        <v>-945333.84308069781</v>
      </c>
      <c r="K75" s="273">
        <f t="shared" si="9"/>
        <v>-1609452.8377549197</v>
      </c>
      <c r="L75" s="273">
        <f t="shared" si="9"/>
        <v>-917714.52761220466</v>
      </c>
      <c r="M75" s="273">
        <f t="shared" si="9"/>
        <v>-903904.86987795809</v>
      </c>
      <c r="N75" s="273">
        <f t="shared" si="9"/>
        <v>-1193907.6822971359</v>
      </c>
      <c r="O75" s="273">
        <f t="shared" si="9"/>
        <v>-895116.90586525574</v>
      </c>
      <c r="P75" s="273">
        <f t="shared" si="9"/>
        <v>-862475.89667521836</v>
      </c>
      <c r="Q75" s="273">
        <f t="shared" si="9"/>
        <v>-848666.23894097179</v>
      </c>
      <c r="R75" s="273">
        <f t="shared" si="9"/>
        <v>-834856.58120672521</v>
      </c>
      <c r="S75" s="273">
        <f t="shared" si="9"/>
        <v>-1498975.5758809471</v>
      </c>
      <c r="T75" s="273">
        <f t="shared" si="9"/>
        <v>-807237.26573823206</v>
      </c>
      <c r="U75" s="273">
        <f t="shared" si="9"/>
        <v>-812258.95945977629</v>
      </c>
      <c r="V75" s="273">
        <f t="shared" si="9"/>
        <v>-779617.95026973891</v>
      </c>
      <c r="W75" s="273">
        <f t="shared" si="9"/>
        <v>-765808.29253549234</v>
      </c>
      <c r="X75" s="273">
        <f t="shared" si="9"/>
        <v>-751998.63480124576</v>
      </c>
      <c r="Y75" s="273">
        <f t="shared" si="9"/>
        <v>-738188.97706699918</v>
      </c>
      <c r="Z75" s="273">
        <f t="shared" si="9"/>
        <v>-724379.31933275261</v>
      </c>
      <c r="AA75" s="273">
        <f t="shared" si="9"/>
        <v>-1388498.3140069745</v>
      </c>
      <c r="AB75" s="273">
        <f t="shared" si="9"/>
        <v>-696760.00386425946</v>
      </c>
      <c r="AC75" s="273">
        <f t="shared" si="9"/>
        <v>-682950.34613001288</v>
      </c>
      <c r="AD75" s="273">
        <f t="shared" si="9"/>
        <v>-669140.68839576631</v>
      </c>
      <c r="AE75" s="273">
        <f t="shared" si="9"/>
        <v>-655331.03066151973</v>
      </c>
    </row>
    <row r="76" spans="1:31" x14ac:dyDescent="0.2">
      <c r="A76" s="269" t="s">
        <v>255</v>
      </c>
      <c r="B76" s="274">
        <f t="shared" ref="B76:AE76" si="10">-B67</f>
        <v>0</v>
      </c>
      <c r="C76" s="274">
        <f t="shared" si="10"/>
        <v>0</v>
      </c>
      <c r="D76" s="274">
        <f t="shared" si="10"/>
        <v>627711.71519302635</v>
      </c>
      <c r="E76" s="274">
        <f t="shared" si="10"/>
        <v>627711.71519302635</v>
      </c>
      <c r="F76" s="274">
        <f t="shared" si="10"/>
        <v>627711.71519302635</v>
      </c>
      <c r="G76" s="274">
        <f t="shared" si="10"/>
        <v>627711.71519302635</v>
      </c>
      <c r="H76" s="274">
        <f t="shared" si="10"/>
        <v>627711.71519302635</v>
      </c>
      <c r="I76" s="274">
        <f t="shared" si="10"/>
        <v>627711.71519302635</v>
      </c>
      <c r="J76" s="274">
        <f t="shared" si="10"/>
        <v>627711.71519302635</v>
      </c>
      <c r="K76" s="274">
        <f t="shared" si="10"/>
        <v>627711.71519302635</v>
      </c>
      <c r="L76" s="274">
        <f t="shared" si="10"/>
        <v>627711.71519302635</v>
      </c>
      <c r="M76" s="274">
        <f t="shared" si="10"/>
        <v>627711.71519302635</v>
      </c>
      <c r="N76" s="274">
        <f t="shared" si="10"/>
        <v>627711.71519302635</v>
      </c>
      <c r="O76" s="274">
        <f t="shared" si="10"/>
        <v>627711.71519302635</v>
      </c>
      <c r="P76" s="274">
        <f t="shared" si="10"/>
        <v>627711.71519302635</v>
      </c>
      <c r="Q76" s="274">
        <f t="shared" si="10"/>
        <v>627711.71519302635</v>
      </c>
      <c r="R76" s="274">
        <f t="shared" si="10"/>
        <v>627711.71519302635</v>
      </c>
      <c r="S76" s="274">
        <f t="shared" si="10"/>
        <v>627711.71519302635</v>
      </c>
      <c r="T76" s="274">
        <f t="shared" si="10"/>
        <v>627711.71519302635</v>
      </c>
      <c r="U76" s="274">
        <f t="shared" si="10"/>
        <v>627711.71519302635</v>
      </c>
      <c r="V76" s="274">
        <f t="shared" si="10"/>
        <v>627711.71519302635</v>
      </c>
      <c r="W76" s="274">
        <f t="shared" si="10"/>
        <v>627711.71519302635</v>
      </c>
      <c r="X76" s="274">
        <f t="shared" si="10"/>
        <v>627711.71519302635</v>
      </c>
      <c r="Y76" s="274">
        <f t="shared" si="10"/>
        <v>627711.71519302635</v>
      </c>
      <c r="Z76" s="274">
        <f t="shared" si="10"/>
        <v>627711.71519302635</v>
      </c>
      <c r="AA76" s="274">
        <f t="shared" si="10"/>
        <v>627711.71519302635</v>
      </c>
      <c r="AB76" s="274">
        <f t="shared" si="10"/>
        <v>627711.71519302635</v>
      </c>
      <c r="AC76" s="274">
        <f t="shared" si="10"/>
        <v>627711.71519302635</v>
      </c>
      <c r="AD76" s="274">
        <f t="shared" si="10"/>
        <v>627711.71519302635</v>
      </c>
      <c r="AE76" s="274">
        <f t="shared" si="10"/>
        <v>627711.71519302635</v>
      </c>
    </row>
    <row r="77" spans="1:31" x14ac:dyDescent="0.2">
      <c r="A77" s="269" t="s">
        <v>254</v>
      </c>
      <c r="B77" s="274">
        <f t="shared" ref="B77:AE77" si="11">B69</f>
        <v>0</v>
      </c>
      <c r="C77" s="274">
        <f t="shared" si="11"/>
        <v>0</v>
      </c>
      <c r="D77" s="274">
        <f t="shared" si="11"/>
        <v>0</v>
      </c>
      <c r="E77" s="274">
        <f t="shared" si="11"/>
        <v>0</v>
      </c>
      <c r="F77" s="274">
        <f t="shared" si="11"/>
        <v>0</v>
      </c>
      <c r="G77" s="274">
        <f t="shared" si="11"/>
        <v>0</v>
      </c>
      <c r="H77" s="274">
        <f t="shared" si="11"/>
        <v>0</v>
      </c>
      <c r="I77" s="274">
        <f t="shared" si="11"/>
        <v>0</v>
      </c>
      <c r="J77" s="274">
        <f t="shared" si="11"/>
        <v>0</v>
      </c>
      <c r="K77" s="274">
        <f t="shared" si="11"/>
        <v>0</v>
      </c>
      <c r="L77" s="274">
        <f t="shared" si="11"/>
        <v>0</v>
      </c>
      <c r="M77" s="274">
        <f t="shared" si="11"/>
        <v>0</v>
      </c>
      <c r="N77" s="274">
        <f t="shared" si="11"/>
        <v>0</v>
      </c>
      <c r="O77" s="274">
        <f t="shared" si="11"/>
        <v>0</v>
      </c>
      <c r="P77" s="274">
        <f t="shared" si="11"/>
        <v>0</v>
      </c>
      <c r="Q77" s="274">
        <f t="shared" si="11"/>
        <v>0</v>
      </c>
      <c r="R77" s="274">
        <f t="shared" si="11"/>
        <v>0</v>
      </c>
      <c r="S77" s="274">
        <f t="shared" si="11"/>
        <v>0</v>
      </c>
      <c r="T77" s="274">
        <f t="shared" si="11"/>
        <v>0</v>
      </c>
      <c r="U77" s="274">
        <f t="shared" si="11"/>
        <v>0</v>
      </c>
      <c r="V77" s="274">
        <f t="shared" si="11"/>
        <v>0</v>
      </c>
      <c r="W77" s="274">
        <f t="shared" si="11"/>
        <v>0</v>
      </c>
      <c r="X77" s="274">
        <f t="shared" si="11"/>
        <v>0</v>
      </c>
      <c r="Y77" s="274">
        <f t="shared" si="11"/>
        <v>0</v>
      </c>
      <c r="Z77" s="274">
        <f t="shared" si="11"/>
        <v>0</v>
      </c>
      <c r="AA77" s="274">
        <f t="shared" si="11"/>
        <v>0</v>
      </c>
      <c r="AB77" s="274">
        <f t="shared" si="11"/>
        <v>0</v>
      </c>
      <c r="AC77" s="274">
        <f t="shared" si="11"/>
        <v>0</v>
      </c>
      <c r="AD77" s="274">
        <f t="shared" si="11"/>
        <v>0</v>
      </c>
      <c r="AE77" s="274">
        <f t="shared" si="11"/>
        <v>0</v>
      </c>
    </row>
    <row r="78" spans="1:31" x14ac:dyDescent="0.2">
      <c r="A78" s="269" t="s">
        <v>253</v>
      </c>
      <c r="B78" s="274">
        <f>IF(SUM($B$71:B71)+SUM($A$78:A78)&gt;0,0,SUM($B$71:B71)-SUM($A$78:A78))</f>
        <v>0</v>
      </c>
      <c r="C78" s="274">
        <f>IF(SUM($B$71:C71)+SUM($A$78:B78)&gt;0,0,SUM($B$71:C71)-SUM($A$78:B78))</f>
        <v>0</v>
      </c>
      <c r="D78" s="274">
        <f>IF(SUM($B$71:D71)+SUM($A$78:C78)&gt;0,0,SUM($B$71:D71)-SUM($A$78:C78))</f>
        <v>0</v>
      </c>
      <c r="E78" s="274">
        <f>IF(SUM($B$71:E71)+SUM($A$78:D78)&gt;0,0,SUM($B$71:E71)-SUM($A$78:D78))</f>
        <v>0</v>
      </c>
      <c r="F78" s="274">
        <f>IF(SUM($B$71:F71)+SUM($A$78:E78)&gt;0,0,SUM($B$71:F71)-SUM($A$78:E78))</f>
        <v>0</v>
      </c>
      <c r="G78" s="274">
        <f>IF(SUM($B$71:G71)+SUM($A$78:F78)&gt;0,0,SUM($B$71:G71)-SUM($A$78:F78))</f>
        <v>0</v>
      </c>
      <c r="H78" s="274">
        <f>IF(SUM($B$71:H71)+SUM($A$78:G78)&gt;0,0,SUM($B$71:H71)-SUM($A$78:G78))</f>
        <v>0</v>
      </c>
      <c r="I78" s="274">
        <f>IF(SUM($B$71:I71)+SUM($A$78:H78)&gt;0,0,SUM($B$71:I71)-SUM($A$78:H78))</f>
        <v>0</v>
      </c>
      <c r="J78" s="274">
        <f>IF(SUM($B$71:J71)+SUM($A$78:I78)&gt;0,0,SUM($B$71:J71)-SUM($A$78:I78))</f>
        <v>0</v>
      </c>
      <c r="K78" s="274">
        <f>IF(SUM($B$71:K71)+SUM($A$78:J78)&gt;0,0,SUM($B$71:K71)-SUM($A$78:J78))</f>
        <v>0</v>
      </c>
      <c r="L78" s="274">
        <f>IF(SUM($B$71:L71)+SUM($A$78:K78)&gt;0,0,SUM($B$71:L71)-SUM($A$78:K78))</f>
        <v>0</v>
      </c>
      <c r="M78" s="274">
        <f>IF(SUM($B$71:M71)+SUM($A$78:L78)&gt;0,0,SUM($B$71:M71)-SUM($A$78:L78))</f>
        <v>0</v>
      </c>
      <c r="N78" s="274">
        <f>IF(SUM($B$71:N71)+SUM($A$78:M78)&gt;0,0,SUM($B$71:N71)-SUM($A$78:M78))</f>
        <v>0</v>
      </c>
      <c r="O78" s="274">
        <f>IF(SUM($B$71:O71)+SUM($A$78:N78)&gt;0,0,SUM($B$71:O71)-SUM($A$78:N78))</f>
        <v>0</v>
      </c>
      <c r="P78" s="274">
        <f>IF(SUM($B$71:P71)+SUM($A$78:O78)&gt;0,0,SUM($B$71:P71)-SUM($A$78:O78))</f>
        <v>0</v>
      </c>
      <c r="Q78" s="274">
        <f>IF(SUM($B$71:Q71)+SUM($A$78:P78)&gt;0,0,SUM($B$71:Q71)-SUM($A$78:P78))</f>
        <v>0</v>
      </c>
      <c r="R78" s="274">
        <f>IF(SUM($B$71:R71)+SUM($A$78:Q78)&gt;0,0,SUM($B$71:R71)-SUM($A$78:Q78))</f>
        <v>0</v>
      </c>
      <c r="S78" s="274">
        <f>IF(SUM($B$71:S71)+SUM($A$78:R78)&gt;0,0,SUM($B$71:S71)-SUM($A$78:R78))</f>
        <v>0</v>
      </c>
      <c r="T78" s="274">
        <f>IF(SUM($B$71:T71)+SUM($A$78:S78)&gt;0,0,SUM($B$71:T71)-SUM($A$78:S78))</f>
        <v>0</v>
      </c>
      <c r="U78" s="274">
        <f>IF(SUM($B$71:U71)+SUM($A$78:T78)&gt;0,0,SUM($B$71:U71)-SUM($A$78:T78))</f>
        <v>0</v>
      </c>
      <c r="V78" s="274">
        <f>IF(SUM($B$71:V71)+SUM($A$78:U78)&gt;0,0,SUM($B$71:V71)-SUM($A$78:U78))</f>
        <v>0</v>
      </c>
      <c r="W78" s="274">
        <f>IF(SUM($B$71:W71)+SUM($A$78:V78)&gt;0,0,SUM($B$71:W71)-SUM($A$78:V78))</f>
        <v>0</v>
      </c>
      <c r="X78" s="274">
        <f>IF(SUM($B$71:X71)+SUM($A$78:W78)&gt;0,0,SUM($B$71:X71)-SUM($A$78:W78))</f>
        <v>0</v>
      </c>
      <c r="Y78" s="274">
        <f>IF(SUM($B$71:Y71)+SUM($A$78:X78)&gt;0,0,SUM($B$71:Y71)-SUM($A$78:X78))</f>
        <v>0</v>
      </c>
      <c r="Z78" s="274">
        <f>IF(SUM($B$71:Z71)+SUM($A$78:Y78)&gt;0,0,SUM($B$71:Z71)-SUM($A$78:Y78))</f>
        <v>0</v>
      </c>
      <c r="AA78" s="274">
        <f>IF(SUM($B$71:AA71)+SUM($A$78:Z78)&gt;0,0,SUM($B$71:AA71)-SUM($A$78:Z78))</f>
        <v>0</v>
      </c>
      <c r="AB78" s="274">
        <f>IF(SUM($B$71:AB71)+SUM($A$78:AA78)&gt;0,0,SUM($B$71:AB71)-SUM($A$78:AA78))</f>
        <v>0</v>
      </c>
      <c r="AC78" s="274">
        <f>IF(SUM($B$71:AC71)+SUM($A$78:AB78)&gt;0,0,SUM($B$71:AC71)-SUM($A$78:AB78))</f>
        <v>0</v>
      </c>
      <c r="AD78" s="274">
        <f>IF(SUM($B$71:AD71)+SUM($A$78:AC78)&gt;0,0,SUM($B$71:AD71)-SUM($A$78:AC78))</f>
        <v>0</v>
      </c>
      <c r="AE78" s="274">
        <f>IF(SUM($B$71:AE71)+SUM($A$78:AD78)&gt;0,0,SUM($B$71:AE71)-SUM($A$78:AD78))</f>
        <v>0</v>
      </c>
    </row>
    <row r="79" spans="1:31" x14ac:dyDescent="0.2">
      <c r="A79" s="269" t="s">
        <v>252</v>
      </c>
      <c r="B79" s="274">
        <f>IF(((SUM($B$58:B58)+SUM($B$60:B64))+SUM($B$81:B81))&lt;0,((SUM($B$58:B58)+SUM($B$60:B64))+SUM($B$81:B81))*0.2-SUM($A$79:A79),IF(SUM(A$79:$A79)&lt;0,0-SUM(A$79:$A79),0))</f>
        <v>-2100000</v>
      </c>
      <c r="C79" s="274">
        <f>IF(((SUM($B$58:C58)+SUM($B$60:C64))+SUM($B$81:C81))&lt;0,((SUM($B$58:C58)+SUM($B$60:C64))+SUM($B$81:C81))*0.2-SUM($A$79:B79),IF(SUM($A$79:B79)&lt;0,0-SUM($A$79:B79),0))</f>
        <v>-2419524.3493897906</v>
      </c>
      <c r="D79" s="274">
        <f>IF(((SUM($B$58:D58)+SUM($B$60:D64))+SUM($B$81:D81))&lt;0,((SUM($B$58:D58)+SUM($B$60:D64))+SUM($B$81:D81))*0.2-SUM($A$79:C79),IF(SUM($A$79:C79)&lt;0,0-SUM($A$79:C79),0))</f>
        <v>0</v>
      </c>
      <c r="E79" s="274">
        <f>IF(((SUM($B$58:E58)+SUM($B$60:E64))+SUM($B$81:E81))&lt;0,((SUM($B$58:E58)+SUM($B$60:E64))+SUM($B$81:E81))*0.2-SUM($A$79:D79),IF(SUM($A$79:D79)&lt;0,0-SUM($A$79:D79),0))</f>
        <v>0</v>
      </c>
      <c r="F79" s="274">
        <f>IF(((SUM($B$58:F58)+SUM($B$60:F64))+SUM($B$81:F81))&lt;0,((SUM($B$58:F58)+SUM($B$60:F64))+SUM($B$81:F81))*0.2-SUM($A$79:E79),IF(SUM($A$79:E79)&lt;0,0-SUM($A$79:E79),0))</f>
        <v>0</v>
      </c>
      <c r="G79" s="274">
        <f>IF(((SUM($B$58:G58)+SUM($B$60:G64))+SUM($B$81:G81))&lt;0,((SUM($B$58:G58)+SUM($B$60:G64))+SUM($B$81:G81))*0.2-SUM($A$79:F79),IF(SUM($A$79:F79)&lt;0,0-SUM($A$79:F79),0))</f>
        <v>0</v>
      </c>
      <c r="H79" s="274">
        <f>IF(((SUM($B$58:H58)+SUM($B$60:H64))+SUM($B$81:H81))&lt;0,((SUM($B$58:H58)+SUM($B$60:H64))+SUM($B$81:H81))*0.2-SUM($A$79:G79),IF(SUM($A$79:G79)&lt;0,0-SUM($A$79:G79),0))</f>
        <v>0</v>
      </c>
      <c r="I79" s="274">
        <f>IF(((SUM($B$58:I58)+SUM($B$60:I64))+SUM($B$81:I81))&lt;0,((SUM($B$58:I58)+SUM($B$60:I64))+SUM($B$81:I81))*0.2-SUM($A$79:H79),IF(SUM($A$79:H79)&lt;0,0-SUM($A$79:H79),0))</f>
        <v>-3766.2702911570668</v>
      </c>
      <c r="J79" s="274">
        <f>IF(((SUM($B$58:J58)+SUM($B$60:J64))+SUM($B$81:J81))&lt;0,((SUM($B$58:J58)+SUM($B$60:J64))+SUM($B$81:J81))*0.2-SUM($A$79:I79),IF(SUM($A$79:I79)&lt;0,0-SUM($A$79:I79),0))</f>
        <v>0</v>
      </c>
      <c r="K79" s="274">
        <f>IF(((SUM($B$58:K58)+SUM($B$60:K64))+SUM($B$81:K81))&lt;0,((SUM($B$58:K58)+SUM($B$60:K64))+SUM($B$81:K81))*0.2-SUM($A$79:J79),IF(SUM($A$79:J79)&lt;0,0-SUM($A$79:J79),0))</f>
        <v>-135585.73048169445</v>
      </c>
      <c r="L79" s="274">
        <f>IF(((SUM($B$58:L58)+SUM($B$60:L64))+SUM($B$81:L81))&lt;0,((SUM($B$58:L58)+SUM($B$60:L64))+SUM($B$81:L81))*0.2-SUM($A$79:K79),IF(SUM($A$79:K79)&lt;0,0-SUM($A$79:K79),0))</f>
        <v>0</v>
      </c>
      <c r="M79" s="274">
        <f>IF(((SUM($B$58:M58)+SUM($B$60:M64))+SUM($B$81:M81))&lt;0,((SUM($B$58:M58)+SUM($B$60:M64))+SUM($B$81:M81))*0.2-SUM($A$79:L79),IF(SUM($A$79:L79)&lt;0,0-SUM($A$79:L79),0))</f>
        <v>0</v>
      </c>
      <c r="N79" s="274">
        <f>IF(((SUM($B$58:N58)+SUM($B$60:N64))+SUM($B$81:N81))&lt;0,((SUM($B$58:N58)+SUM($B$60:N64))+SUM($B$81:N81))*0.2-SUM($A$79:M79),IF(SUM($A$79:M79)&lt;0,0-SUM($A$79:M79),0))</f>
        <v>0</v>
      </c>
      <c r="O79" s="274">
        <f>IF(((SUM($B$58:O58)+SUM($B$60:O64))+SUM($B$81:O81))&lt;0,((SUM($B$58:O58)+SUM($B$60:O64))+SUM($B$81:O81))*0.2-SUM($A$79:N79),IF(SUM($A$79:N79)&lt;0,0-SUM($A$79:N79),0))</f>
        <v>-3766.2702911579981</v>
      </c>
      <c r="P79" s="274">
        <f>IF(((SUM($B$58:P58)+SUM($B$60:P64))+SUM($B$81:P81))&lt;0,((SUM($B$58:P58)+SUM($B$60:P64))+SUM($B$81:P81))*0.2-SUM($A$79:O79),IF(SUM($A$79:O79)&lt;0,0-SUM($A$79:O79),0))</f>
        <v>0</v>
      </c>
      <c r="Q79" s="274">
        <f>IF(((SUM($B$58:Q58)+SUM($B$60:Q64))+SUM($B$81:Q81))&lt;0,((SUM($B$58:Q58)+SUM($B$60:Q64))+SUM($B$81:Q81))*0.2-SUM($A$79:P79),IF(SUM($A$79:P79)&lt;0,0-SUM($A$79:P79),0))</f>
        <v>0</v>
      </c>
      <c r="R79" s="274">
        <f>IF(((SUM($B$58:R58)+SUM($B$60:R64))+SUM($B$81:R81))&lt;0,((SUM($B$58:R58)+SUM($B$60:R64))+SUM($B$81:R81))*0.2-SUM($A$79:Q79),IF(SUM($A$79:Q79)&lt;0,0-SUM($A$79:Q79),0))</f>
        <v>0</v>
      </c>
      <c r="S79" s="274">
        <f>IF(((SUM($B$58:S58)+SUM($B$60:S64))+SUM($B$81:S81))&lt;0,((SUM($B$58:S58)+SUM($B$60:S64))+SUM($B$81:S81))*0.2-SUM($A$79:R79),IF(SUM($A$79:R79)&lt;0,0-SUM($A$79:R79),0))</f>
        <v>-135585.73048169352</v>
      </c>
      <c r="T79" s="274">
        <f>IF(((SUM($B$58:T58)+SUM($B$60:T64))+SUM($B$81:T81))&lt;0,((SUM($B$58:T58)+SUM($B$60:T64))+SUM($B$81:T81))*0.2-SUM($A$79:S79),IF(SUM($A$79:S79)&lt;0,0-SUM($A$79:S79),0))</f>
        <v>0</v>
      </c>
      <c r="U79" s="274">
        <f>IF(((SUM($B$58:U58)+SUM($B$60:U64))+SUM($B$81:U81))&lt;0,((SUM($B$58:U58)+SUM($B$60:U64))+SUM($B$81:U81))*0.2-SUM($A$79:T79),IF(SUM($A$79:T79)&lt;0,0-SUM($A$79:T79),0))</f>
        <v>-3766.2702911589295</v>
      </c>
      <c r="V79" s="274">
        <f>IF(((SUM($B$58:V58)+SUM($B$60:V64))+SUM($B$81:V81))&lt;0,((SUM($B$58:V58)+SUM($B$60:V64))+SUM($B$81:V81))*0.2-SUM($A$79:U79),IF(SUM($A$79:U79)&lt;0,0-SUM($A$79:U79),0))</f>
        <v>0</v>
      </c>
      <c r="W79" s="274">
        <f>IF(((SUM($B$58:W58)+SUM($B$60:W64))+SUM($B$81:W81))&lt;0,((SUM($B$58:W58)+SUM($B$60:W64))+SUM($B$81:W81))*0.2-SUM($A$79:V79),IF(SUM($A$79:V79)&lt;0,0-SUM($A$79:V79),0))</f>
        <v>0</v>
      </c>
      <c r="X79" s="274">
        <f>IF(((SUM($B$58:X58)+SUM($B$60:X64))+SUM($B$81:X81))&lt;0,((SUM($B$58:X58)+SUM($B$60:X64))+SUM($B$81:X81))*0.2-SUM($A$79:W79),IF(SUM($A$79:W79)&lt;0,0-SUM($A$79:W79),0))</f>
        <v>0</v>
      </c>
      <c r="Y79" s="274">
        <f>IF(((SUM($B$58:Y58)+SUM($B$60:Y64))+SUM($B$81:Y81))&lt;0,((SUM($B$58:Y58)+SUM($B$60:Y64))+SUM($B$81:Y81))*0.2-SUM($A$79:X79),IF(SUM($A$79:X79)&lt;0,0-SUM($A$79:X79),0))</f>
        <v>0</v>
      </c>
      <c r="Z79" s="274">
        <f>IF(((SUM($B$58:Z58)+SUM($B$60:Z64))+SUM($B$81:Z81))&lt;0,((SUM($B$58:Z58)+SUM($B$60:Z64))+SUM($B$81:Z81))*0.2-SUM($A$79:Y79),IF(SUM($A$79:Y79)&lt;0,0-SUM($A$79:Y79),0))</f>
        <v>0</v>
      </c>
      <c r="AA79" s="274">
        <f>IF(((SUM($B$58:AA58)+SUM($B$60:AA64))+SUM($B$81:AA81))&lt;0,((SUM($B$58:AA58)+SUM($B$60:AA64))+SUM($B$81:AA81))*0.2-SUM($A$79:Z79),IF(SUM($A$79:Z79)&lt;0,0-SUM($A$79:Z79),0))</f>
        <v>-135585.73048169352</v>
      </c>
      <c r="AB79" s="274">
        <f>IF(((SUM($B$58:AB58)+SUM($B$60:AB64))+SUM($B$81:AB81))&lt;0,((SUM($B$58:AB58)+SUM($B$60:AB64))+SUM($B$81:AB81))*0.2-SUM($A$79:AA79),IF(SUM($A$79:AA79)&lt;0,0-SUM($A$79:AA79),0))</f>
        <v>0</v>
      </c>
      <c r="AC79" s="274">
        <f>IF(((SUM($B$58:AC58)+SUM($B$60:AC64))+SUM($B$81:AC81))&lt;0,((SUM($B$58:AC58)+SUM($B$60:AC64))+SUM($B$81:AC81))*0.2-SUM($A$79:AB79),IF(SUM($A$79:AB79)&lt;0,0-SUM($A$79:AB79),0))</f>
        <v>0</v>
      </c>
      <c r="AD79" s="274">
        <f>IF(((SUM($B$58:AD58)+SUM($B$60:AD64))+SUM($B$81:AD81))&lt;0,((SUM($B$58:AD58)+SUM($B$60:AD64))+SUM($B$81:AD81))*0.2-SUM($A$79:AC79),IF(SUM($A$79:AC79)&lt;0,0-SUM($A$79:AC79),0))</f>
        <v>0</v>
      </c>
      <c r="AE79" s="274">
        <f>IF(((SUM($B$58:AE58)+SUM($B$60:AE64))+SUM($B$81:AE81))&lt;0,((SUM($B$58:AE58)+SUM($B$60:AE64))+SUM($B$81:AE81))*0.2-SUM($A$79:AD79),IF(SUM($A$79:AD79)&lt;0,0-SUM($A$79:AD79),0))</f>
        <v>0</v>
      </c>
    </row>
    <row r="80" spans="1:31" x14ac:dyDescent="0.2">
      <c r="A80" s="269" t="s">
        <v>251</v>
      </c>
      <c r="B80" s="274">
        <f>-B58*($B$38)</f>
        <v>0</v>
      </c>
      <c r="C80" s="274">
        <f t="shared" ref="C80:AE80" si="12">-C58*($B$38)</f>
        <v>0</v>
      </c>
      <c r="D80" s="274">
        <f t="shared" si="12"/>
        <v>0</v>
      </c>
      <c r="E80" s="274">
        <f t="shared" si="12"/>
        <v>0</v>
      </c>
      <c r="F80" s="274">
        <f t="shared" si="12"/>
        <v>0</v>
      </c>
      <c r="G80" s="274">
        <f t="shared" si="12"/>
        <v>0</v>
      </c>
      <c r="H80" s="274">
        <f t="shared" si="12"/>
        <v>0</v>
      </c>
      <c r="I80" s="274">
        <f t="shared" si="12"/>
        <v>0</v>
      </c>
      <c r="J80" s="274">
        <f t="shared" si="12"/>
        <v>0</v>
      </c>
      <c r="K80" s="274">
        <f t="shared" si="12"/>
        <v>0</v>
      </c>
      <c r="L80" s="274">
        <f t="shared" si="12"/>
        <v>0</v>
      </c>
      <c r="M80" s="274">
        <f t="shared" si="12"/>
        <v>0</v>
      </c>
      <c r="N80" s="274">
        <f t="shared" si="12"/>
        <v>0</v>
      </c>
      <c r="O80" s="274">
        <f t="shared" si="12"/>
        <v>0</v>
      </c>
      <c r="P80" s="274">
        <f t="shared" si="12"/>
        <v>0</v>
      </c>
      <c r="Q80" s="274">
        <f t="shared" si="12"/>
        <v>0</v>
      </c>
      <c r="R80" s="274">
        <f t="shared" si="12"/>
        <v>0</v>
      </c>
      <c r="S80" s="274">
        <f t="shared" si="12"/>
        <v>0</v>
      </c>
      <c r="T80" s="274">
        <f t="shared" si="12"/>
        <v>0</v>
      </c>
      <c r="U80" s="274">
        <f t="shared" si="12"/>
        <v>0</v>
      </c>
      <c r="V80" s="274">
        <f t="shared" si="12"/>
        <v>0</v>
      </c>
      <c r="W80" s="274">
        <f t="shared" si="12"/>
        <v>0</v>
      </c>
      <c r="X80" s="274">
        <f t="shared" si="12"/>
        <v>0</v>
      </c>
      <c r="Y80" s="274">
        <f t="shared" si="12"/>
        <v>0</v>
      </c>
      <c r="Z80" s="274">
        <f t="shared" si="12"/>
        <v>0</v>
      </c>
      <c r="AA80" s="274">
        <f t="shared" si="12"/>
        <v>0</v>
      </c>
      <c r="AB80" s="274">
        <f t="shared" si="12"/>
        <v>0</v>
      </c>
      <c r="AC80" s="274">
        <f t="shared" si="12"/>
        <v>0</v>
      </c>
      <c r="AD80" s="274">
        <f t="shared" si="12"/>
        <v>0</v>
      </c>
      <c r="AE80" s="274">
        <f t="shared" si="12"/>
        <v>0</v>
      </c>
    </row>
    <row r="81" spans="1:31" x14ac:dyDescent="0.2">
      <c r="A81" s="269" t="s">
        <v>434</v>
      </c>
      <c r="B81" s="280">
        <f>-'6.2. Паспорт фин осв ввод'!C24*1000000-C81</f>
        <v>-10500000</v>
      </c>
      <c r="C81" s="280">
        <f>-'6.2. Паспорт фин осв ввод'!G24*1000000</f>
        <v>-12097621.74694895</v>
      </c>
      <c r="D81" s="271"/>
      <c r="E81" s="271"/>
      <c r="F81" s="271"/>
      <c r="G81" s="271"/>
      <c r="H81" s="271"/>
      <c r="I81" s="271"/>
      <c r="J81" s="271"/>
      <c r="K81" s="271"/>
      <c r="L81" s="271"/>
      <c r="M81" s="271"/>
      <c r="N81" s="271"/>
      <c r="O81" s="271"/>
      <c r="P81" s="271"/>
      <c r="Q81" s="271"/>
      <c r="R81" s="271"/>
      <c r="S81" s="271"/>
      <c r="T81" s="271"/>
      <c r="U81" s="271"/>
      <c r="V81" s="271"/>
      <c r="W81" s="271"/>
      <c r="X81" s="271"/>
      <c r="Y81" s="271"/>
      <c r="Z81" s="271"/>
      <c r="AA81" s="271"/>
      <c r="AB81" s="271"/>
      <c r="AC81" s="271"/>
      <c r="AD81" s="271"/>
      <c r="AE81" s="271"/>
    </row>
    <row r="82" spans="1:31" x14ac:dyDescent="0.2">
      <c r="A82" s="269" t="s">
        <v>250</v>
      </c>
      <c r="B82" s="271">
        <v>0</v>
      </c>
      <c r="C82" s="271">
        <v>0</v>
      </c>
      <c r="D82" s="271">
        <v>0</v>
      </c>
      <c r="E82" s="271">
        <v>0</v>
      </c>
      <c r="F82" s="271">
        <v>0</v>
      </c>
      <c r="G82" s="271">
        <v>0</v>
      </c>
      <c r="H82" s="271">
        <v>0</v>
      </c>
      <c r="I82" s="271">
        <v>0</v>
      </c>
      <c r="J82" s="271">
        <v>0</v>
      </c>
      <c r="K82" s="271">
        <v>0</v>
      </c>
      <c r="L82" s="271">
        <v>0</v>
      </c>
      <c r="M82" s="271">
        <v>0</v>
      </c>
      <c r="N82" s="271">
        <v>0</v>
      </c>
      <c r="O82" s="271">
        <v>0</v>
      </c>
      <c r="P82" s="271">
        <v>0</v>
      </c>
      <c r="Q82" s="271">
        <v>0</v>
      </c>
      <c r="R82" s="271">
        <v>0</v>
      </c>
      <c r="S82" s="271">
        <v>0</v>
      </c>
      <c r="T82" s="271">
        <v>0</v>
      </c>
      <c r="U82" s="271">
        <v>0</v>
      </c>
      <c r="V82" s="271">
        <v>0</v>
      </c>
      <c r="W82" s="271">
        <v>0</v>
      </c>
      <c r="X82" s="271">
        <v>0</v>
      </c>
      <c r="Y82" s="271">
        <v>0</v>
      </c>
      <c r="Z82" s="271">
        <v>0</v>
      </c>
      <c r="AA82" s="271">
        <v>0</v>
      </c>
      <c r="AB82" s="271">
        <v>0</v>
      </c>
      <c r="AC82" s="271">
        <v>0</v>
      </c>
      <c r="AD82" s="271">
        <v>0</v>
      </c>
      <c r="AE82" s="271">
        <v>0</v>
      </c>
    </row>
    <row r="83" spans="1:31" x14ac:dyDescent="0.2">
      <c r="A83" s="272" t="s">
        <v>249</v>
      </c>
      <c r="B83" s="273">
        <f t="shared" ref="B83:AE83" si="13">SUM(B75:B82)</f>
        <v>-12600000</v>
      </c>
      <c r="C83" s="273">
        <f t="shared" si="13"/>
        <v>-14517146.096338741</v>
      </c>
      <c r="D83" s="273">
        <f t="shared" si="13"/>
        <v>-400480.0742931508</v>
      </c>
      <c r="E83" s="273">
        <f t="shared" si="13"/>
        <v>-386670.41655890422</v>
      </c>
      <c r="F83" s="273">
        <f t="shared" si="13"/>
        <v>-372860.75882465777</v>
      </c>
      <c r="G83" s="273">
        <f t="shared" si="13"/>
        <v>-359051.10109041107</v>
      </c>
      <c r="H83" s="273">
        <f t="shared" si="13"/>
        <v>-345241.44335616461</v>
      </c>
      <c r="I83" s="273">
        <f t="shared" si="13"/>
        <v>-354029.40736886591</v>
      </c>
      <c r="J83" s="273">
        <f t="shared" si="13"/>
        <v>-317622.12788767146</v>
      </c>
      <c r="K83" s="273">
        <f t="shared" si="13"/>
        <v>-1117326.8530435879</v>
      </c>
      <c r="L83" s="273">
        <f t="shared" si="13"/>
        <v>-290002.81241917831</v>
      </c>
      <c r="M83" s="273">
        <f t="shared" si="13"/>
        <v>-276193.15468493174</v>
      </c>
      <c r="N83" s="273">
        <f t="shared" si="13"/>
        <v>-566195.96710410959</v>
      </c>
      <c r="O83" s="273">
        <f t="shared" si="13"/>
        <v>-271171.46096338739</v>
      </c>
      <c r="P83" s="273">
        <f t="shared" si="13"/>
        <v>-234764.18148219201</v>
      </c>
      <c r="Q83" s="273">
        <f t="shared" si="13"/>
        <v>-220954.52374794544</v>
      </c>
      <c r="R83" s="273">
        <f t="shared" si="13"/>
        <v>-207144.86601369886</v>
      </c>
      <c r="S83" s="273">
        <f t="shared" si="13"/>
        <v>-1006849.5911696142</v>
      </c>
      <c r="T83" s="273">
        <f t="shared" si="13"/>
        <v>-179525.55054520571</v>
      </c>
      <c r="U83" s="273">
        <f t="shared" si="13"/>
        <v>-188313.51455790887</v>
      </c>
      <c r="V83" s="273">
        <f t="shared" si="13"/>
        <v>-151906.23507671256</v>
      </c>
      <c r="W83" s="273">
        <f t="shared" si="13"/>
        <v>-138096.57734246599</v>
      </c>
      <c r="X83" s="273">
        <f t="shared" si="13"/>
        <v>-124286.91960821941</v>
      </c>
      <c r="Y83" s="273">
        <f t="shared" si="13"/>
        <v>-110477.26187397284</v>
      </c>
      <c r="Z83" s="273">
        <f t="shared" si="13"/>
        <v>-96667.60413972626</v>
      </c>
      <c r="AA83" s="273">
        <f t="shared" si="13"/>
        <v>-896372.32929564163</v>
      </c>
      <c r="AB83" s="273">
        <f t="shared" si="13"/>
        <v>-69048.288671233109</v>
      </c>
      <c r="AC83" s="273">
        <f t="shared" si="13"/>
        <v>-55238.630936986534</v>
      </c>
      <c r="AD83" s="273">
        <f t="shared" si="13"/>
        <v>-41428.973202739959</v>
      </c>
      <c r="AE83" s="273">
        <f t="shared" si="13"/>
        <v>-27619.315468493383</v>
      </c>
    </row>
    <row r="84" spans="1:31" x14ac:dyDescent="0.2">
      <c r="A84" s="272" t="s">
        <v>619</v>
      </c>
      <c r="B84" s="273">
        <f>SUM($B$83:B83)</f>
        <v>-12600000</v>
      </c>
      <c r="C84" s="273">
        <f>SUM($B$83:C83)</f>
        <v>-27117146.096338741</v>
      </c>
      <c r="D84" s="273">
        <f>SUM($B$83:D83)</f>
        <v>-27517626.170631893</v>
      </c>
      <c r="E84" s="273">
        <f>SUM($B$83:E83)</f>
        <v>-27904296.587190796</v>
      </c>
      <c r="F84" s="273">
        <f>SUM($B$83:F83)</f>
        <v>-28277157.346015453</v>
      </c>
      <c r="G84" s="273">
        <f>SUM($B$83:G83)</f>
        <v>-28636208.447105866</v>
      </c>
      <c r="H84" s="273">
        <f>SUM($B$83:H83)</f>
        <v>-28981449.89046203</v>
      </c>
      <c r="I84" s="273">
        <f>SUM($B$83:I83)</f>
        <v>-29335479.297830895</v>
      </c>
      <c r="J84" s="273">
        <f>SUM($B$83:J83)</f>
        <v>-29653101.425718565</v>
      </c>
      <c r="K84" s="273">
        <f>SUM($B$83:K83)</f>
        <v>-30770428.278762154</v>
      </c>
      <c r="L84" s="273">
        <f>SUM($B$83:L83)</f>
        <v>-31060431.091181334</v>
      </c>
      <c r="M84" s="273">
        <f>SUM($B$83:M83)</f>
        <v>-31336624.245866265</v>
      </c>
      <c r="N84" s="273">
        <f>SUM($B$83:N83)</f>
        <v>-31902820.212970376</v>
      </c>
      <c r="O84" s="273">
        <f>SUM($B$83:O83)</f>
        <v>-32173991.673933763</v>
      </c>
      <c r="P84" s="273">
        <f>SUM($B$83:P83)</f>
        <v>-32408755.855415955</v>
      </c>
      <c r="Q84" s="273">
        <f>SUM($B$83:Q83)</f>
        <v>-32629710.379163902</v>
      </c>
      <c r="R84" s="273">
        <f>SUM($B$83:R83)</f>
        <v>-32836855.245177601</v>
      </c>
      <c r="S84" s="273">
        <f>SUM($B$83:S83)</f>
        <v>-33843704.836347215</v>
      </c>
      <c r="T84" s="273">
        <f>SUM($B$83:T83)</f>
        <v>-34023230.386892423</v>
      </c>
      <c r="U84" s="273">
        <f>SUM($B$83:U83)</f>
        <v>-34211543.901450329</v>
      </c>
      <c r="V84" s="273">
        <f>SUM($B$83:V83)</f>
        <v>-34363450.136527039</v>
      </c>
      <c r="W84" s="273">
        <f>SUM($B$83:W83)</f>
        <v>-34501546.713869505</v>
      </c>
      <c r="X84" s="273">
        <f>SUM($B$83:X83)</f>
        <v>-34625833.633477725</v>
      </c>
      <c r="Y84" s="273">
        <f>SUM($B$83:Y83)</f>
        <v>-34736310.8953517</v>
      </c>
      <c r="Z84" s="273">
        <f>SUM($B$83:Z83)</f>
        <v>-34832978.499491423</v>
      </c>
      <c r="AA84" s="273">
        <f>SUM($B$83:AA83)</f>
        <v>-35729350.828787066</v>
      </c>
      <c r="AB84" s="273">
        <f>SUM($B$83:AB83)</f>
        <v>-35798399.117458299</v>
      </c>
      <c r="AC84" s="273">
        <f>SUM($B$83:AC83)</f>
        <v>-35853637.748395287</v>
      </c>
      <c r="AD84" s="273">
        <f>SUM($B$83:AD83)</f>
        <v>-35895066.721598029</v>
      </c>
      <c r="AE84" s="273">
        <f>SUM($B$83:AE83)</f>
        <v>-35922686.037066519</v>
      </c>
    </row>
    <row r="85" spans="1:31" x14ac:dyDescent="0.2">
      <c r="A85" s="281" t="s">
        <v>435</v>
      </c>
      <c r="B85" s="282">
        <f t="shared" ref="B85:AE85" si="14">1/POWER((1+$B$43),B73)</f>
        <v>0.9128709291752769</v>
      </c>
      <c r="C85" s="282">
        <f t="shared" si="14"/>
        <v>0.7607257743127307</v>
      </c>
      <c r="D85" s="282">
        <f t="shared" si="14"/>
        <v>0.63393814526060899</v>
      </c>
      <c r="E85" s="282">
        <f t="shared" si="14"/>
        <v>0.52828178771717416</v>
      </c>
      <c r="F85" s="282">
        <f t="shared" si="14"/>
        <v>0.44023482309764517</v>
      </c>
      <c r="G85" s="282">
        <f t="shared" si="14"/>
        <v>0.36686235258137107</v>
      </c>
      <c r="H85" s="282">
        <f t="shared" si="14"/>
        <v>0.30571862715114251</v>
      </c>
      <c r="I85" s="282">
        <f t="shared" si="14"/>
        <v>0.25476552262595203</v>
      </c>
      <c r="J85" s="282">
        <f t="shared" si="14"/>
        <v>0.21230460218829345</v>
      </c>
      <c r="K85" s="282">
        <f t="shared" si="14"/>
        <v>0.17692050182357785</v>
      </c>
      <c r="L85" s="282">
        <f t="shared" si="14"/>
        <v>0.14743375151964822</v>
      </c>
      <c r="M85" s="282">
        <f t="shared" si="14"/>
        <v>0.12286145959970685</v>
      </c>
      <c r="N85" s="282">
        <f t="shared" si="14"/>
        <v>0.10238454966642239</v>
      </c>
      <c r="O85" s="282">
        <f t="shared" si="14"/>
        <v>8.5320458055351975E-2</v>
      </c>
      <c r="P85" s="282">
        <f t="shared" si="14"/>
        <v>7.1100381712793329E-2</v>
      </c>
      <c r="Q85" s="282">
        <f t="shared" si="14"/>
        <v>5.9250318093994447E-2</v>
      </c>
      <c r="R85" s="282">
        <f t="shared" si="14"/>
        <v>4.9375265078328692E-2</v>
      </c>
      <c r="S85" s="282">
        <f t="shared" si="14"/>
        <v>4.1146054231940586E-2</v>
      </c>
      <c r="T85" s="282">
        <f t="shared" si="14"/>
        <v>3.4288378526617161E-2</v>
      </c>
      <c r="U85" s="282">
        <f t="shared" si="14"/>
        <v>2.8573648772180955E-2</v>
      </c>
      <c r="V85" s="282">
        <f t="shared" si="14"/>
        <v>2.3811373976817471E-2</v>
      </c>
      <c r="W85" s="282">
        <f t="shared" si="14"/>
        <v>1.9842811647347896E-2</v>
      </c>
      <c r="X85" s="282">
        <f t="shared" si="14"/>
        <v>1.6535676372789913E-2</v>
      </c>
      <c r="Y85" s="282">
        <f t="shared" si="14"/>
        <v>1.377973031065826E-2</v>
      </c>
      <c r="Z85" s="282">
        <f t="shared" si="14"/>
        <v>1.1483108592215211E-2</v>
      </c>
      <c r="AA85" s="282">
        <f t="shared" si="14"/>
        <v>9.5692571601793501E-3</v>
      </c>
      <c r="AB85" s="282">
        <f t="shared" si="14"/>
        <v>7.9743809668161216E-3</v>
      </c>
      <c r="AC85" s="282">
        <f t="shared" si="14"/>
        <v>6.6453174723467663E-3</v>
      </c>
      <c r="AD85" s="282">
        <f t="shared" si="14"/>
        <v>5.5377645602889755E-3</v>
      </c>
      <c r="AE85" s="282">
        <f t="shared" si="14"/>
        <v>4.6148038002408118E-3</v>
      </c>
    </row>
    <row r="86" spans="1:31" x14ac:dyDescent="0.2">
      <c r="A86" s="279" t="s">
        <v>620</v>
      </c>
      <c r="B86" s="273">
        <f t="shared" ref="B86:AE86" si="15">B83*B85</f>
        <v>-11502173.707608489</v>
      </c>
      <c r="C86" s="273">
        <f t="shared" si="15"/>
        <v>-11043567.204948325</v>
      </c>
      <c r="D86" s="273">
        <f t="shared" si="15"/>
        <v>-253879.5955112309</v>
      </c>
      <c r="E86" s="273">
        <f t="shared" si="15"/>
        <v>-204270.93891708236</v>
      </c>
      <c r="F86" s="273">
        <f t="shared" si="15"/>
        <v>-164146.29020122695</v>
      </c>
      <c r="G86" s="273">
        <f t="shared" si="15"/>
        <v>-131722.33164295988</v>
      </c>
      <c r="H86" s="273">
        <f t="shared" si="15"/>
        <v>-105546.74009852558</v>
      </c>
      <c r="I86" s="273">
        <f t="shared" si="15"/>
        <v>-90194.486993285202</v>
      </c>
      <c r="J86" s="273">
        <f t="shared" si="15"/>
        <v>-67432.639507391359</v>
      </c>
      <c r="K86" s="273">
        <f t="shared" si="15"/>
        <v>-197678.02754143058</v>
      </c>
      <c r="L86" s="273">
        <f t="shared" si="15"/>
        <v>-42756.202586208288</v>
      </c>
      <c r="M86" s="273">
        <f t="shared" si="15"/>
        <v>-33933.494116038324</v>
      </c>
      <c r="N86" s="273">
        <f t="shared" si="15"/>
        <v>-57969.719114898769</v>
      </c>
      <c r="O86" s="273">
        <f t="shared" si="15"/>
        <v>-23136.47326093521</v>
      </c>
      <c r="P86" s="273">
        <f t="shared" si="15"/>
        <v>-16691.822915875338</v>
      </c>
      <c r="Q86" s="273">
        <f t="shared" si="15"/>
        <v>-13091.625816372818</v>
      </c>
      <c r="R86" s="273">
        <f t="shared" si="15"/>
        <v>-10227.832669041261</v>
      </c>
      <c r="S86" s="273">
        <f t="shared" si="15"/>
        <v>-41427.887881672155</v>
      </c>
      <c r="T86" s="273">
        <f t="shared" si="15"/>
        <v>-6155.640032293355</v>
      </c>
      <c r="U86" s="273">
        <f t="shared" si="15"/>
        <v>-5380.8042240326731</v>
      </c>
      <c r="V86" s="273">
        <f t="shared" si="15"/>
        <v>-3617.0961728219509</v>
      </c>
      <c r="W86" s="273">
        <f t="shared" si="15"/>
        <v>-2740.2243733499636</v>
      </c>
      <c r="X86" s="273">
        <f t="shared" si="15"/>
        <v>-2055.1682800124731</v>
      </c>
      <c r="Y86" s="273">
        <f t="shared" si="15"/>
        <v>-1522.3468740833137</v>
      </c>
      <c r="Z86" s="273">
        <f t="shared" si="15"/>
        <v>-1110.0445956857493</v>
      </c>
      <c r="AA86" s="273">
        <f t="shared" si="15"/>
        <v>-8577.617330298961</v>
      </c>
      <c r="AB86" s="273">
        <f t="shared" si="15"/>
        <v>-550.61735897110657</v>
      </c>
      <c r="AC86" s="273">
        <f t="shared" si="15"/>
        <v>-367.07823931407125</v>
      </c>
      <c r="AD86" s="273">
        <f t="shared" si="15"/>
        <v>-229.42389957129501</v>
      </c>
      <c r="AE86" s="273">
        <f t="shared" si="15"/>
        <v>-127.45772198405311</v>
      </c>
    </row>
    <row r="87" spans="1:31" x14ac:dyDescent="0.2">
      <c r="A87" s="279" t="s">
        <v>621</v>
      </c>
      <c r="B87" s="273">
        <f>SUM($B$86:B86)</f>
        <v>-11502173.707608489</v>
      </c>
      <c r="C87" s="273">
        <f>SUM($B$86:C86)</f>
        <v>-22545740.912556812</v>
      </c>
      <c r="D87" s="273">
        <f>SUM($B$86:D86)</f>
        <v>-22799620.508068044</v>
      </c>
      <c r="E87" s="273">
        <f>SUM($B$86:E86)</f>
        <v>-23003891.446985126</v>
      </c>
      <c r="F87" s="273">
        <f>SUM($B$86:F86)</f>
        <v>-23168037.737186354</v>
      </c>
      <c r="G87" s="273">
        <f>SUM($B$86:G86)</f>
        <v>-23299760.068829313</v>
      </c>
      <c r="H87" s="273">
        <f>SUM($B$86:H86)</f>
        <v>-23405306.808927838</v>
      </c>
      <c r="I87" s="273">
        <f>SUM($B$86:I86)</f>
        <v>-23495501.295921125</v>
      </c>
      <c r="J87" s="273">
        <f>SUM($B$86:J86)</f>
        <v>-23562933.935428515</v>
      </c>
      <c r="K87" s="273">
        <f>SUM($B$86:K86)</f>
        <v>-23760611.962969944</v>
      </c>
      <c r="L87" s="273">
        <f>SUM($B$86:L86)</f>
        <v>-23803368.165556151</v>
      </c>
      <c r="M87" s="273">
        <f>SUM($B$86:M86)</f>
        <v>-23837301.65967219</v>
      </c>
      <c r="N87" s="273">
        <f>SUM($B$86:N86)</f>
        <v>-23895271.378787089</v>
      </c>
      <c r="O87" s="273">
        <f>SUM($B$86:O86)</f>
        <v>-23918407.852048025</v>
      </c>
      <c r="P87" s="273">
        <f>SUM($B$86:P86)</f>
        <v>-23935099.674963899</v>
      </c>
      <c r="Q87" s="273">
        <f>SUM($B$86:Q86)</f>
        <v>-23948191.30078027</v>
      </c>
      <c r="R87" s="273">
        <f>SUM($B$86:R86)</f>
        <v>-23958419.133449312</v>
      </c>
      <c r="S87" s="273">
        <f>SUM($B$86:S86)</f>
        <v>-23999847.021330986</v>
      </c>
      <c r="T87" s="273">
        <f>SUM($B$86:T86)</f>
        <v>-24006002.661363281</v>
      </c>
      <c r="U87" s="273">
        <f>SUM($B$86:U86)</f>
        <v>-24011383.465587314</v>
      </c>
      <c r="V87" s="273">
        <f>SUM($B$86:V86)</f>
        <v>-24015000.561760135</v>
      </c>
      <c r="W87" s="273">
        <f>SUM($B$86:W86)</f>
        <v>-24017740.786133487</v>
      </c>
      <c r="X87" s="273">
        <f>SUM($B$86:X86)</f>
        <v>-24019795.9544135</v>
      </c>
      <c r="Y87" s="273">
        <f>SUM($B$86:Y86)</f>
        <v>-24021318.301287584</v>
      </c>
      <c r="Z87" s="273">
        <f>SUM($B$86:Z86)</f>
        <v>-24022428.345883269</v>
      </c>
      <c r="AA87" s="273">
        <f>SUM($B$86:AA86)</f>
        <v>-24031005.963213567</v>
      </c>
      <c r="AB87" s="273">
        <f>SUM($B$86:AB86)</f>
        <v>-24031556.580572538</v>
      </c>
      <c r="AC87" s="273">
        <f>SUM($B$86:AC86)</f>
        <v>-24031923.658811852</v>
      </c>
      <c r="AD87" s="273">
        <f>SUM($B$86:AD86)</f>
        <v>-24032153.082711425</v>
      </c>
      <c r="AE87" s="273">
        <f>SUM($B$86:AE86)</f>
        <v>-24032280.540433411</v>
      </c>
    </row>
    <row r="88" spans="1:31" x14ac:dyDescent="0.2">
      <c r="A88" s="279" t="s">
        <v>622</v>
      </c>
      <c r="B88" s="283">
        <f>IF((ISERR(IRR($B$83:B83))),0,IF(IRR($B$83:B83)&lt;0,0,IRR($B$83:B83)))</f>
        <v>0</v>
      </c>
      <c r="C88" s="283">
        <f>IF((ISERR(IRR($B$83:C83))),0,IF(IRR($B$83:C83)&lt;0,0,IRR($B$83:C83)))</f>
        <v>0</v>
      </c>
      <c r="D88" s="283">
        <f>IF((ISERR(IRR($B$83:D83))),0,IF(IRR($B$83:D83)&lt;0,0,IRR($B$83:D83)))</f>
        <v>0</v>
      </c>
      <c r="E88" s="283">
        <f>IF((ISERR(IRR($B$83:E83))),0,IF(IRR($B$83:E83)&lt;0,0,IRR($B$83:E83)))</f>
        <v>0</v>
      </c>
      <c r="F88" s="283">
        <f>IF((ISERR(IRR($B$83:F83))),0,IF(IRR($B$83:F83)&lt;0,0,IRR($B$83:F83)))</f>
        <v>0</v>
      </c>
      <c r="G88" s="283">
        <f>IF((ISERR(IRR($B$83:G83))),0,IF(IRR($B$83:G83)&lt;0,0,IRR($B$83:G83)))</f>
        <v>0</v>
      </c>
      <c r="H88" s="283">
        <f>IF((ISERR(IRR($B$83:H83))),0,IF(IRR($B$83:H83)&lt;0,0,IRR($B$83:H83)))</f>
        <v>0</v>
      </c>
      <c r="I88" s="283">
        <f>IF((ISERR(IRR($B$83:I83))),0,IF(IRR($B$83:I83)&lt;0,0,IRR($B$83:I83)))</f>
        <v>0</v>
      </c>
      <c r="J88" s="283">
        <f>IF((ISERR(IRR($B$83:J83))),0,IF(IRR($B$83:J83)&lt;0,0,IRR($B$83:J83)))</f>
        <v>0</v>
      </c>
      <c r="K88" s="283">
        <f>IF((ISERR(IRR($B$83:K83))),0,IF(IRR($B$83:K83)&lt;0,0,IRR($B$83:K83)))</f>
        <v>0</v>
      </c>
      <c r="L88" s="283">
        <f>IF((ISERR(IRR($B$83:L83))),0,IF(IRR($B$83:L83)&lt;0,0,IRR($B$83:L83)))</f>
        <v>0</v>
      </c>
      <c r="M88" s="283">
        <f>IF((ISERR(IRR($B$83:M83))),0,IF(IRR($B$83:M83)&lt;0,0,IRR($B$83:M83)))</f>
        <v>0</v>
      </c>
      <c r="N88" s="283">
        <f>IF((ISERR(IRR($B$83:N83))),0,IF(IRR($B$83:N83)&lt;0,0,IRR($B$83:N83)))</f>
        <v>0</v>
      </c>
      <c r="O88" s="283">
        <f>IF((ISERR(IRR($B$83:O83))),0,IF(IRR($B$83:O83)&lt;0,0,IRR($B$83:O83)))</f>
        <v>0</v>
      </c>
      <c r="P88" s="283">
        <f>IF((ISERR(IRR($B$83:P83))),0,IF(IRR($B$83:P83)&lt;0,0,IRR($B$83:P83)))</f>
        <v>0</v>
      </c>
      <c r="Q88" s="283">
        <f>IF((ISERR(IRR($B$83:Q83))),0,IF(IRR($B$83:Q83)&lt;0,0,IRR($B$83:Q83)))</f>
        <v>0</v>
      </c>
      <c r="R88" s="283">
        <f>IF((ISERR(IRR($B$83:R83))),0,IF(IRR($B$83:R83)&lt;0,0,IRR($B$83:R83)))</f>
        <v>0</v>
      </c>
      <c r="S88" s="283">
        <f>IF((ISERR(IRR($B$83:S83))),0,IF(IRR($B$83:S83)&lt;0,0,IRR($B$83:S83)))</f>
        <v>0</v>
      </c>
      <c r="T88" s="283">
        <f>IF((ISERR(IRR($B$83:T83))),0,IF(IRR($B$83:T83)&lt;0,0,IRR($B$83:T83)))</f>
        <v>0</v>
      </c>
      <c r="U88" s="283">
        <f>IF((ISERR(IRR($B$83:U83))),0,IF(IRR($B$83:U83)&lt;0,0,IRR($B$83:U83)))</f>
        <v>0</v>
      </c>
      <c r="V88" s="283">
        <f>IF((ISERR(IRR($B$83:V83))),0,IF(IRR($B$83:V83)&lt;0,0,IRR($B$83:V83)))</f>
        <v>0</v>
      </c>
      <c r="W88" s="283">
        <f>IF((ISERR(IRR($B$83:W83))),0,IF(IRR($B$83:W83)&lt;0,0,IRR($B$83:W83)))</f>
        <v>0</v>
      </c>
      <c r="X88" s="283">
        <f>IF((ISERR(IRR($B$83:X83))),0,IF(IRR($B$83:X83)&lt;0,0,IRR($B$83:X83)))</f>
        <v>0</v>
      </c>
      <c r="Y88" s="283">
        <f>IF((ISERR(IRR($B$83:Y83))),0,IF(IRR($B$83:Y83)&lt;0,0,IRR($B$83:Y83)))</f>
        <v>0</v>
      </c>
      <c r="Z88" s="283">
        <f>IF((ISERR(IRR($B$83:Z83))),0,IF(IRR($B$83:Z83)&lt;0,0,IRR($B$83:Z83)))</f>
        <v>0</v>
      </c>
      <c r="AA88" s="283">
        <f>IF((ISERR(IRR($B$83:AA83))),0,IF(IRR($B$83:AA83)&lt;0,0,IRR($B$83:AA83)))</f>
        <v>0</v>
      </c>
      <c r="AB88" s="283">
        <f>IF((ISERR(IRR($B$83:AB83))),0,IF(IRR($B$83:AB83)&lt;0,0,IRR($B$83:AB83)))</f>
        <v>0</v>
      </c>
      <c r="AC88" s="283">
        <f>IF((ISERR(IRR($B$83:AC83))),0,IF(IRR($B$83:AC83)&lt;0,0,IRR($B$83:AC83)))</f>
        <v>0</v>
      </c>
      <c r="AD88" s="283">
        <f>IF((ISERR(IRR($B$83:AD83))),0,IF(IRR($B$83:AD83)&lt;0,0,IRR($B$83:AD83)))</f>
        <v>0</v>
      </c>
      <c r="AE88" s="283">
        <f>IF((ISERR(IRR($B$83:AE83))),0,IF(IRR($B$83:AE83)&lt;0,0,IRR($B$83:AE83)))</f>
        <v>0</v>
      </c>
    </row>
    <row r="89" spans="1:31" x14ac:dyDescent="0.2">
      <c r="A89" s="279" t="s">
        <v>623</v>
      </c>
      <c r="B89" s="284">
        <f t="shared" ref="B89:AE89" si="16">IF(AND(B84&gt;0,A84&lt;0),(B74-(B84/(B84-A84))),0)</f>
        <v>0</v>
      </c>
      <c r="C89" s="284">
        <f t="shared" si="16"/>
        <v>0</v>
      </c>
      <c r="D89" s="284">
        <f t="shared" si="16"/>
        <v>0</v>
      </c>
      <c r="E89" s="284">
        <f t="shared" si="16"/>
        <v>0</v>
      </c>
      <c r="F89" s="284">
        <f t="shared" si="16"/>
        <v>0</v>
      </c>
      <c r="G89" s="284">
        <f t="shared" si="16"/>
        <v>0</v>
      </c>
      <c r="H89" s="284">
        <f t="shared" si="16"/>
        <v>0</v>
      </c>
      <c r="I89" s="284">
        <f t="shared" si="16"/>
        <v>0</v>
      </c>
      <c r="J89" s="284">
        <f t="shared" si="16"/>
        <v>0</v>
      </c>
      <c r="K89" s="284">
        <f t="shared" si="16"/>
        <v>0</v>
      </c>
      <c r="L89" s="284">
        <f t="shared" si="16"/>
        <v>0</v>
      </c>
      <c r="M89" s="284">
        <f t="shared" si="16"/>
        <v>0</v>
      </c>
      <c r="N89" s="284">
        <f t="shared" si="16"/>
        <v>0</v>
      </c>
      <c r="O89" s="284">
        <f t="shared" si="16"/>
        <v>0</v>
      </c>
      <c r="P89" s="284">
        <f t="shared" si="16"/>
        <v>0</v>
      </c>
      <c r="Q89" s="284">
        <f t="shared" si="16"/>
        <v>0</v>
      </c>
      <c r="R89" s="284">
        <f t="shared" si="16"/>
        <v>0</v>
      </c>
      <c r="S89" s="284">
        <f t="shared" si="16"/>
        <v>0</v>
      </c>
      <c r="T89" s="284">
        <f t="shared" si="16"/>
        <v>0</v>
      </c>
      <c r="U89" s="284">
        <f t="shared" si="16"/>
        <v>0</v>
      </c>
      <c r="V89" s="284">
        <f t="shared" si="16"/>
        <v>0</v>
      </c>
      <c r="W89" s="284">
        <f t="shared" si="16"/>
        <v>0</v>
      </c>
      <c r="X89" s="284">
        <f t="shared" si="16"/>
        <v>0</v>
      </c>
      <c r="Y89" s="284">
        <f t="shared" si="16"/>
        <v>0</v>
      </c>
      <c r="Z89" s="284">
        <f t="shared" si="16"/>
        <v>0</v>
      </c>
      <c r="AA89" s="284">
        <f t="shared" si="16"/>
        <v>0</v>
      </c>
      <c r="AB89" s="284">
        <f t="shared" si="16"/>
        <v>0</v>
      </c>
      <c r="AC89" s="284">
        <f t="shared" si="16"/>
        <v>0</v>
      </c>
      <c r="AD89" s="284">
        <f t="shared" si="16"/>
        <v>0</v>
      </c>
      <c r="AE89" s="284">
        <f t="shared" si="16"/>
        <v>0</v>
      </c>
    </row>
    <row r="90" spans="1:31" ht="13.5" thickBot="1" x14ac:dyDescent="0.25">
      <c r="A90" s="285" t="s">
        <v>624</v>
      </c>
      <c r="B90" s="286">
        <f t="shared" ref="B90:AE90" si="17">IF(AND(B87&gt;0,A87&lt;0),(B74-(B87/(B87-A87))),0)</f>
        <v>0</v>
      </c>
      <c r="C90" s="286">
        <f t="shared" si="17"/>
        <v>0</v>
      </c>
      <c r="D90" s="286">
        <f t="shared" si="17"/>
        <v>0</v>
      </c>
      <c r="E90" s="286">
        <f t="shared" si="17"/>
        <v>0</v>
      </c>
      <c r="F90" s="286">
        <f t="shared" si="17"/>
        <v>0</v>
      </c>
      <c r="G90" s="286">
        <f t="shared" si="17"/>
        <v>0</v>
      </c>
      <c r="H90" s="286">
        <f t="shared" si="17"/>
        <v>0</v>
      </c>
      <c r="I90" s="286">
        <f t="shared" si="17"/>
        <v>0</v>
      </c>
      <c r="J90" s="286">
        <f t="shared" si="17"/>
        <v>0</v>
      </c>
      <c r="K90" s="286">
        <f t="shared" si="17"/>
        <v>0</v>
      </c>
      <c r="L90" s="286">
        <f t="shared" si="17"/>
        <v>0</v>
      </c>
      <c r="M90" s="286">
        <f t="shared" si="17"/>
        <v>0</v>
      </c>
      <c r="N90" s="286">
        <f t="shared" si="17"/>
        <v>0</v>
      </c>
      <c r="O90" s="286">
        <f t="shared" si="17"/>
        <v>0</v>
      </c>
      <c r="P90" s="286">
        <f t="shared" si="17"/>
        <v>0</v>
      </c>
      <c r="Q90" s="286">
        <f t="shared" si="17"/>
        <v>0</v>
      </c>
      <c r="R90" s="286">
        <f t="shared" si="17"/>
        <v>0</v>
      </c>
      <c r="S90" s="286">
        <f t="shared" si="17"/>
        <v>0</v>
      </c>
      <c r="T90" s="286">
        <f t="shared" si="17"/>
        <v>0</v>
      </c>
      <c r="U90" s="286">
        <f t="shared" si="17"/>
        <v>0</v>
      </c>
      <c r="V90" s="286">
        <f t="shared" si="17"/>
        <v>0</v>
      </c>
      <c r="W90" s="286">
        <f t="shared" si="17"/>
        <v>0</v>
      </c>
      <c r="X90" s="286">
        <f t="shared" si="17"/>
        <v>0</v>
      </c>
      <c r="Y90" s="286">
        <f t="shared" si="17"/>
        <v>0</v>
      </c>
      <c r="Z90" s="286">
        <f t="shared" si="17"/>
        <v>0</v>
      </c>
      <c r="AA90" s="286">
        <f t="shared" si="17"/>
        <v>0</v>
      </c>
      <c r="AB90" s="286">
        <f t="shared" si="17"/>
        <v>0</v>
      </c>
      <c r="AC90" s="286">
        <f t="shared" si="17"/>
        <v>0</v>
      </c>
      <c r="AD90" s="286">
        <f t="shared" si="17"/>
        <v>0</v>
      </c>
      <c r="AE90" s="286">
        <f t="shared" si="17"/>
        <v>0</v>
      </c>
    </row>
    <row r="91" spans="1:31" x14ac:dyDescent="0.2">
      <c r="A91" s="287"/>
      <c r="B91" s="287">
        <v>2023</v>
      </c>
      <c r="C91" s="287">
        <f t="shared" ref="C91:R92" si="18">B91+1</f>
        <v>2024</v>
      </c>
      <c r="D91" s="287">
        <f t="shared" si="18"/>
        <v>2025</v>
      </c>
      <c r="E91" s="287">
        <f t="shared" si="18"/>
        <v>2026</v>
      </c>
      <c r="F91" s="287">
        <f t="shared" si="18"/>
        <v>2027</v>
      </c>
      <c r="G91" s="287">
        <f t="shared" si="18"/>
        <v>2028</v>
      </c>
      <c r="H91" s="287">
        <f t="shared" si="18"/>
        <v>2029</v>
      </c>
      <c r="I91" s="287">
        <f t="shared" si="18"/>
        <v>2030</v>
      </c>
      <c r="J91" s="287">
        <f t="shared" si="18"/>
        <v>2031</v>
      </c>
      <c r="K91" s="287">
        <f t="shared" si="18"/>
        <v>2032</v>
      </c>
      <c r="L91" s="287">
        <f t="shared" si="18"/>
        <v>2033</v>
      </c>
      <c r="M91" s="287">
        <f t="shared" si="18"/>
        <v>2034</v>
      </c>
      <c r="N91" s="287">
        <f t="shared" si="18"/>
        <v>2035</v>
      </c>
      <c r="O91" s="287">
        <f t="shared" si="18"/>
        <v>2036</v>
      </c>
      <c r="P91" s="287">
        <f t="shared" si="18"/>
        <v>2037</v>
      </c>
      <c r="Q91" s="287">
        <f t="shared" si="18"/>
        <v>2038</v>
      </c>
      <c r="R91" s="287">
        <f t="shared" si="18"/>
        <v>2039</v>
      </c>
      <c r="S91" s="287">
        <f t="shared" ref="S91:AE92" si="19">R91+1</f>
        <v>2040</v>
      </c>
      <c r="T91" s="287">
        <f t="shared" si="19"/>
        <v>2041</v>
      </c>
      <c r="U91" s="287">
        <f t="shared" si="19"/>
        <v>2042</v>
      </c>
      <c r="V91" s="287">
        <f t="shared" si="19"/>
        <v>2043</v>
      </c>
      <c r="W91" s="287">
        <f t="shared" si="19"/>
        <v>2044</v>
      </c>
      <c r="X91" s="287">
        <f t="shared" si="19"/>
        <v>2045</v>
      </c>
      <c r="Y91" s="287">
        <f t="shared" si="19"/>
        <v>2046</v>
      </c>
      <c r="Z91" s="287">
        <f t="shared" si="19"/>
        <v>2047</v>
      </c>
      <c r="AA91" s="287">
        <f t="shared" si="19"/>
        <v>2048</v>
      </c>
      <c r="AB91" s="287">
        <f t="shared" si="19"/>
        <v>2049</v>
      </c>
      <c r="AC91" s="287">
        <f t="shared" si="19"/>
        <v>2050</v>
      </c>
      <c r="AD91" s="287">
        <f t="shared" si="19"/>
        <v>2051</v>
      </c>
      <c r="AE91" s="287">
        <f t="shared" si="19"/>
        <v>2052</v>
      </c>
    </row>
    <row r="92" spans="1:31" s="297" customFormat="1" x14ac:dyDescent="0.2">
      <c r="A92" s="296"/>
      <c r="B92" s="296">
        <v>1</v>
      </c>
      <c r="C92" s="296">
        <f>B92+1</f>
        <v>2</v>
      </c>
      <c r="D92" s="296">
        <v>1</v>
      </c>
      <c r="E92" s="296">
        <f t="shared" si="18"/>
        <v>2</v>
      </c>
      <c r="F92" s="296">
        <f t="shared" si="18"/>
        <v>3</v>
      </c>
      <c r="G92" s="296">
        <f t="shared" si="18"/>
        <v>4</v>
      </c>
      <c r="H92" s="296">
        <f t="shared" si="18"/>
        <v>5</v>
      </c>
      <c r="I92" s="296">
        <f t="shared" si="18"/>
        <v>6</v>
      </c>
      <c r="J92" s="296">
        <f t="shared" si="18"/>
        <v>7</v>
      </c>
      <c r="K92" s="296">
        <f t="shared" si="18"/>
        <v>8</v>
      </c>
      <c r="L92" s="296">
        <f t="shared" si="18"/>
        <v>9</v>
      </c>
      <c r="M92" s="296">
        <f t="shared" si="18"/>
        <v>10</v>
      </c>
      <c r="N92" s="296">
        <f t="shared" si="18"/>
        <v>11</v>
      </c>
      <c r="O92" s="296">
        <f t="shared" si="18"/>
        <v>12</v>
      </c>
      <c r="P92" s="296">
        <f t="shared" si="18"/>
        <v>13</v>
      </c>
      <c r="Q92" s="296">
        <f t="shared" si="18"/>
        <v>14</v>
      </c>
      <c r="R92" s="296">
        <f t="shared" si="18"/>
        <v>15</v>
      </c>
      <c r="S92" s="296">
        <f t="shared" si="19"/>
        <v>16</v>
      </c>
      <c r="T92" s="296">
        <f t="shared" si="19"/>
        <v>17</v>
      </c>
      <c r="U92" s="296">
        <f t="shared" si="19"/>
        <v>18</v>
      </c>
      <c r="V92" s="296">
        <f t="shared" si="19"/>
        <v>19</v>
      </c>
      <c r="W92" s="296">
        <f t="shared" si="19"/>
        <v>20</v>
      </c>
      <c r="X92" s="296">
        <f t="shared" si="19"/>
        <v>21</v>
      </c>
      <c r="Y92" s="296">
        <f t="shared" si="19"/>
        <v>22</v>
      </c>
      <c r="Z92" s="296">
        <f t="shared" si="19"/>
        <v>23</v>
      </c>
      <c r="AA92" s="296">
        <f t="shared" si="19"/>
        <v>24</v>
      </c>
      <c r="AB92" s="296">
        <f t="shared" si="19"/>
        <v>25</v>
      </c>
      <c r="AC92" s="296">
        <f t="shared" si="19"/>
        <v>26</v>
      </c>
      <c r="AD92" s="296">
        <f t="shared" si="19"/>
        <v>27</v>
      </c>
      <c r="AE92" s="296">
        <f t="shared" si="19"/>
        <v>28</v>
      </c>
    </row>
    <row r="93" spans="1:31" x14ac:dyDescent="0.2">
      <c r="A93" s="350" t="s">
        <v>625</v>
      </c>
      <c r="B93" s="350"/>
      <c r="C93" s="350"/>
      <c r="D93" s="350"/>
      <c r="E93" s="350"/>
      <c r="F93" s="350"/>
      <c r="G93" s="350"/>
      <c r="H93" s="350"/>
      <c r="I93" s="350"/>
      <c r="J93" s="350"/>
      <c r="K93" s="350"/>
      <c r="L93" s="350"/>
      <c r="M93" s="350"/>
      <c r="N93" s="350"/>
      <c r="O93" s="350"/>
      <c r="P93" s="350"/>
      <c r="Q93" s="350"/>
      <c r="R93" s="350"/>
      <c r="S93" s="350"/>
      <c r="T93" s="350"/>
      <c r="U93" s="350"/>
      <c r="V93" s="350"/>
      <c r="W93" s="350"/>
      <c r="X93" s="350"/>
      <c r="Y93" s="350"/>
      <c r="Z93" s="350"/>
      <c r="AA93" s="350"/>
      <c r="AB93" s="350"/>
      <c r="AC93" s="350"/>
    </row>
    <row r="94" spans="1:31" ht="63.75" customHeight="1" x14ac:dyDescent="0.2">
      <c r="A94" s="350" t="s">
        <v>626</v>
      </c>
      <c r="B94" s="350"/>
      <c r="C94" s="350"/>
      <c r="D94" s="350"/>
      <c r="E94" s="350"/>
      <c r="F94" s="350"/>
      <c r="G94" s="350"/>
      <c r="H94" s="350"/>
      <c r="I94" s="350"/>
      <c r="N94" s="216"/>
    </row>
    <row r="95" spans="1:31" ht="13.5" hidden="1" customHeight="1" x14ac:dyDescent="0.2">
      <c r="C95" s="288"/>
      <c r="N95" s="216"/>
    </row>
    <row r="96" spans="1:31" hidden="1" x14ac:dyDescent="0.2">
      <c r="A96" s="216" t="s">
        <v>631</v>
      </c>
      <c r="N96" s="216"/>
    </row>
    <row r="97" spans="1:29" hidden="1" x14ac:dyDescent="0.2">
      <c r="A97" s="206"/>
      <c r="B97" s="206"/>
      <c r="C97" s="206"/>
      <c r="D97" s="206"/>
      <c r="E97" s="206"/>
      <c r="F97" s="206"/>
      <c r="G97" s="206"/>
      <c r="H97" s="206"/>
      <c r="I97" s="206"/>
      <c r="J97" s="206"/>
      <c r="K97" s="206"/>
      <c r="L97" s="206"/>
      <c r="M97" s="206"/>
      <c r="N97" s="216"/>
      <c r="O97" s="206"/>
      <c r="P97" s="206"/>
      <c r="Q97" s="206"/>
      <c r="R97" s="206"/>
      <c r="S97" s="206"/>
      <c r="T97" s="206"/>
      <c r="U97" s="206"/>
      <c r="V97" s="206"/>
      <c r="W97" s="206"/>
      <c r="X97" s="206"/>
      <c r="Y97" s="206"/>
      <c r="Z97" s="206"/>
      <c r="AA97" s="206"/>
      <c r="AB97" s="206"/>
      <c r="AC97" s="206"/>
    </row>
    <row r="98" spans="1:29" hidden="1" x14ac:dyDescent="0.2">
      <c r="A98" s="358" t="s">
        <v>64</v>
      </c>
      <c r="B98" s="359" t="s">
        <v>629</v>
      </c>
      <c r="C98" s="359"/>
      <c r="D98" s="359"/>
      <c r="E98" s="359"/>
      <c r="F98" s="359"/>
      <c r="G98" s="359"/>
      <c r="H98" s="359"/>
      <c r="I98" s="359"/>
      <c r="J98" s="359"/>
      <c r="K98" s="359"/>
      <c r="L98" s="359"/>
      <c r="M98" s="359"/>
      <c r="N98" s="216"/>
      <c r="O98" s="206"/>
      <c r="P98" s="206"/>
      <c r="Q98" s="206"/>
      <c r="R98" s="206"/>
      <c r="S98" s="206"/>
      <c r="T98" s="206"/>
      <c r="U98" s="206"/>
      <c r="V98" s="206"/>
      <c r="W98" s="206"/>
      <c r="X98" s="206"/>
      <c r="Y98" s="206"/>
      <c r="Z98" s="206"/>
      <c r="AA98" s="206"/>
      <c r="AB98" s="206"/>
      <c r="AC98" s="206"/>
    </row>
    <row r="99" spans="1:29" hidden="1" x14ac:dyDescent="0.2">
      <c r="A99" s="358"/>
      <c r="B99" s="294">
        <v>2018</v>
      </c>
      <c r="C99" s="294">
        <v>2019</v>
      </c>
      <c r="D99" s="294">
        <v>2020</v>
      </c>
      <c r="E99" s="294">
        <v>2021</v>
      </c>
      <c r="F99" s="294">
        <v>2022</v>
      </c>
      <c r="G99" s="294">
        <v>2023</v>
      </c>
      <c r="H99" s="294">
        <v>2024</v>
      </c>
      <c r="I99" s="294">
        <v>2025</v>
      </c>
      <c r="J99" s="294">
        <v>2026</v>
      </c>
      <c r="K99" s="294">
        <v>2027</v>
      </c>
      <c r="L99" s="294">
        <v>2028</v>
      </c>
      <c r="M99" s="294">
        <v>2029</v>
      </c>
      <c r="N99" s="216"/>
      <c r="O99" s="206"/>
      <c r="P99" s="206"/>
      <c r="Q99" s="206"/>
      <c r="R99" s="206"/>
      <c r="S99" s="206"/>
      <c r="T99" s="206"/>
      <c r="U99" s="206"/>
      <c r="V99" s="206"/>
      <c r="W99" s="206"/>
      <c r="X99" s="206"/>
      <c r="Y99" s="206"/>
      <c r="Z99" s="206"/>
      <c r="AA99" s="206"/>
      <c r="AB99" s="206"/>
      <c r="AC99" s="206"/>
    </row>
    <row r="100" spans="1:29" hidden="1" x14ac:dyDescent="0.2">
      <c r="A100" s="235" t="s">
        <v>630</v>
      </c>
      <c r="B100" s="295">
        <v>105.2557</v>
      </c>
      <c r="C100" s="295">
        <v>106.826398641827</v>
      </c>
      <c r="D100" s="295">
        <v>105.56188522495653</v>
      </c>
      <c r="E100" s="295">
        <v>104.9354</v>
      </c>
      <c r="F100" s="295">
        <v>113.87439215858601</v>
      </c>
      <c r="G100" s="295">
        <v>105.89170681013999</v>
      </c>
      <c r="H100" s="295">
        <v>105.30227480021099</v>
      </c>
      <c r="I100" s="295">
        <v>104.794259089128</v>
      </c>
      <c r="J100" s="295">
        <v>104.794259089128</v>
      </c>
      <c r="K100" s="295">
        <v>104.794259089128</v>
      </c>
      <c r="L100" s="295">
        <v>104.794259089128</v>
      </c>
      <c r="M100" s="295">
        <v>104.794259089128</v>
      </c>
      <c r="N100" s="216"/>
      <c r="O100" s="206"/>
      <c r="P100" s="206"/>
      <c r="Q100" s="206"/>
      <c r="R100" s="206"/>
      <c r="S100" s="206"/>
      <c r="T100" s="206"/>
      <c r="U100" s="206"/>
      <c r="V100" s="206"/>
      <c r="W100" s="206"/>
      <c r="X100" s="206"/>
      <c r="Y100" s="206"/>
      <c r="Z100" s="206"/>
      <c r="AA100" s="206"/>
      <c r="AB100" s="206"/>
      <c r="AC100" s="206"/>
    </row>
    <row r="101" spans="1:29" hidden="1" x14ac:dyDescent="0.2">
      <c r="A101" s="206"/>
      <c r="B101" s="293">
        <v>5.2557000000000045</v>
      </c>
      <c r="C101" s="293">
        <v>6.826398641826998</v>
      </c>
      <c r="D101" s="293">
        <v>5.5618852249565265</v>
      </c>
      <c r="E101" s="293">
        <v>4.9354000000000013</v>
      </c>
      <c r="F101" s="293">
        <v>13.874392158586005</v>
      </c>
      <c r="G101" s="293">
        <v>5.8917068101399899</v>
      </c>
      <c r="H101" s="293">
        <v>5.3022748002109896</v>
      </c>
      <c r="I101" s="293">
        <v>4.7942590891280004</v>
      </c>
      <c r="J101" s="293">
        <v>4.7942590891280004</v>
      </c>
      <c r="K101" s="293">
        <v>4.7942590891280048</v>
      </c>
      <c r="L101" s="293">
        <v>4.7942590891280048</v>
      </c>
      <c r="M101" s="293">
        <v>4.7942590891280048</v>
      </c>
      <c r="N101" s="216"/>
      <c r="O101" s="206"/>
      <c r="P101" s="206"/>
      <c r="Q101" s="206"/>
      <c r="R101" s="206"/>
      <c r="S101" s="206"/>
      <c r="T101" s="206"/>
      <c r="U101" s="206"/>
      <c r="V101" s="206"/>
      <c r="W101" s="206"/>
      <c r="X101" s="206"/>
      <c r="Y101" s="206"/>
      <c r="Z101" s="206"/>
      <c r="AA101" s="206"/>
      <c r="AB101" s="206"/>
      <c r="AC101" s="206"/>
    </row>
    <row r="102" spans="1:29" hidden="1" x14ac:dyDescent="0.2">
      <c r="A102" s="206"/>
      <c r="B102" s="206"/>
      <c r="C102" s="206"/>
      <c r="D102" s="206"/>
      <c r="E102" s="206"/>
      <c r="F102" s="206"/>
      <c r="G102" s="206"/>
      <c r="H102" s="206"/>
      <c r="I102" s="206"/>
      <c r="J102" s="206"/>
      <c r="K102" s="206"/>
      <c r="L102" s="206"/>
      <c r="M102" s="206"/>
      <c r="N102" s="216"/>
      <c r="O102" s="206"/>
      <c r="P102" s="206"/>
      <c r="Q102" s="206"/>
      <c r="R102" s="206"/>
      <c r="S102" s="206"/>
      <c r="T102" s="206"/>
      <c r="U102" s="206"/>
      <c r="V102" s="206"/>
      <c r="W102" s="206"/>
      <c r="X102" s="206"/>
      <c r="Y102" s="206"/>
      <c r="Z102" s="206"/>
      <c r="AA102" s="206"/>
      <c r="AB102" s="206"/>
      <c r="AC102" s="206"/>
    </row>
    <row r="103" spans="1:29" ht="39" hidden="1" customHeight="1" x14ac:dyDescent="0.2">
      <c r="A103" s="351" t="s">
        <v>632</v>
      </c>
      <c r="B103" s="351"/>
      <c r="C103" s="351"/>
      <c r="D103" s="351"/>
      <c r="E103" s="351"/>
      <c r="F103" s="298">
        <v>114.63142733059399</v>
      </c>
      <c r="G103" s="298">
        <v>106.968874824043</v>
      </c>
      <c r="H103" s="298">
        <v>105.27260918901</v>
      </c>
      <c r="I103" s="298">
        <v>104.761984318213</v>
      </c>
      <c r="J103" s="298">
        <v>104.57995653007001</v>
      </c>
      <c r="K103" s="298">
        <v>104.57995653007001</v>
      </c>
      <c r="L103" s="298">
        <v>104.57995653006968</v>
      </c>
      <c r="M103" s="298">
        <v>104.57995653006968</v>
      </c>
      <c r="N103" s="298">
        <v>104.57995653006968</v>
      </c>
      <c r="O103" s="298">
        <v>104.57995653006968</v>
      </c>
      <c r="P103" s="206"/>
      <c r="Q103" s="206"/>
      <c r="R103" s="206"/>
      <c r="S103" s="206"/>
      <c r="T103" s="206"/>
      <c r="U103" s="206"/>
      <c r="V103" s="206"/>
      <c r="W103" s="206"/>
      <c r="X103" s="206"/>
      <c r="Y103" s="206"/>
      <c r="Z103" s="206"/>
      <c r="AA103" s="206"/>
      <c r="AB103" s="206"/>
      <c r="AC103" s="206"/>
    </row>
    <row r="104" spans="1:29" hidden="1" x14ac:dyDescent="0.2">
      <c r="A104" s="206"/>
      <c r="B104" s="206"/>
      <c r="C104" s="206"/>
      <c r="D104" s="206"/>
      <c r="E104" s="206"/>
      <c r="F104" s="206"/>
      <c r="G104" s="206"/>
      <c r="H104" s="206"/>
      <c r="I104" s="206"/>
      <c r="J104" s="206"/>
      <c r="K104" s="206"/>
      <c r="L104" s="206"/>
      <c r="M104" s="206"/>
      <c r="N104" s="216"/>
      <c r="O104" s="206"/>
      <c r="P104" s="206"/>
      <c r="Q104" s="206"/>
      <c r="R104" s="206"/>
      <c r="S104" s="206"/>
      <c r="T104" s="206"/>
      <c r="U104" s="206"/>
      <c r="V104" s="206"/>
      <c r="W104" s="206"/>
      <c r="X104" s="206"/>
      <c r="Y104" s="206"/>
      <c r="Z104" s="206"/>
      <c r="AA104" s="206"/>
      <c r="AB104" s="206"/>
      <c r="AC104" s="206"/>
    </row>
    <row r="105" spans="1:29" hidden="1" x14ac:dyDescent="0.2">
      <c r="A105" s="206"/>
      <c r="B105" s="206"/>
      <c r="C105" s="206"/>
      <c r="D105" s="206"/>
      <c r="E105" s="206"/>
      <c r="F105" s="206"/>
      <c r="G105" s="206"/>
      <c r="H105" s="206"/>
      <c r="I105" s="206"/>
      <c r="J105" s="206"/>
      <c r="K105" s="206"/>
      <c r="L105" s="206"/>
      <c r="M105" s="206"/>
      <c r="N105" s="216"/>
      <c r="O105" s="206"/>
      <c r="P105" s="206"/>
      <c r="Q105" s="206"/>
      <c r="R105" s="206"/>
      <c r="S105" s="206"/>
      <c r="T105" s="206"/>
      <c r="U105" s="206"/>
      <c r="V105" s="206"/>
      <c r="W105" s="206"/>
      <c r="X105" s="206"/>
      <c r="Y105" s="206"/>
      <c r="Z105" s="206"/>
      <c r="AA105" s="206"/>
      <c r="AB105" s="206"/>
      <c r="AC105" s="206"/>
    </row>
    <row r="106" spans="1:29" hidden="1" x14ac:dyDescent="0.2">
      <c r="A106" s="206"/>
      <c r="B106" s="206"/>
      <c r="C106" s="206"/>
      <c r="D106" s="206"/>
      <c r="E106" s="206"/>
      <c r="F106" s="206"/>
      <c r="G106" s="206"/>
      <c r="H106" s="206"/>
      <c r="I106" s="206"/>
      <c r="J106" s="206"/>
      <c r="K106" s="206"/>
      <c r="L106" s="206"/>
      <c r="M106" s="206"/>
      <c r="N106" s="216"/>
      <c r="O106" s="206"/>
      <c r="P106" s="206"/>
      <c r="Q106" s="206"/>
      <c r="R106" s="206"/>
      <c r="S106" s="206"/>
      <c r="T106" s="206"/>
      <c r="U106" s="206"/>
      <c r="V106" s="206"/>
      <c r="W106" s="206"/>
      <c r="X106" s="206"/>
      <c r="Y106" s="206"/>
      <c r="Z106" s="206"/>
      <c r="AA106" s="206"/>
      <c r="AB106" s="206"/>
      <c r="AC106" s="206"/>
    </row>
    <row r="107" spans="1:29" hidden="1" x14ac:dyDescent="0.2">
      <c r="A107" s="206"/>
      <c r="B107" s="206"/>
      <c r="C107" s="206"/>
      <c r="D107" s="206"/>
      <c r="E107" s="206"/>
      <c r="F107" s="206"/>
      <c r="G107" s="206"/>
      <c r="H107" s="206"/>
      <c r="I107" s="206"/>
      <c r="J107" s="206"/>
      <c r="K107" s="206"/>
      <c r="L107" s="206"/>
      <c r="M107" s="206"/>
      <c r="N107" s="216"/>
      <c r="O107" s="206"/>
      <c r="P107" s="206"/>
      <c r="Q107" s="206"/>
      <c r="R107" s="206"/>
      <c r="S107" s="206"/>
      <c r="T107" s="206"/>
      <c r="U107" s="206"/>
      <c r="V107" s="206"/>
      <c r="W107" s="206"/>
      <c r="X107" s="206"/>
      <c r="Y107" s="206"/>
      <c r="Z107" s="206"/>
      <c r="AA107" s="206"/>
      <c r="AB107" s="206"/>
      <c r="AC107" s="206"/>
    </row>
    <row r="108" spans="1:29" hidden="1" x14ac:dyDescent="0.2">
      <c r="A108" s="206"/>
      <c r="B108" s="206"/>
      <c r="C108" s="206"/>
      <c r="D108" s="206"/>
      <c r="E108" s="206"/>
      <c r="F108" s="206"/>
      <c r="G108" s="206"/>
      <c r="H108" s="206"/>
      <c r="I108" s="206"/>
      <c r="J108" s="206"/>
      <c r="K108" s="206"/>
      <c r="L108" s="206"/>
      <c r="M108" s="206"/>
      <c r="N108" s="216"/>
      <c r="O108" s="206"/>
      <c r="P108" s="206"/>
      <c r="Q108" s="206"/>
      <c r="R108" s="206"/>
      <c r="S108" s="206"/>
      <c r="T108" s="206"/>
      <c r="U108" s="206"/>
      <c r="V108" s="206"/>
      <c r="W108" s="206"/>
      <c r="X108" s="206"/>
      <c r="Y108" s="206"/>
      <c r="Z108" s="206"/>
      <c r="AA108" s="206"/>
      <c r="AB108" s="206"/>
      <c r="AC108" s="206"/>
    </row>
    <row r="109" spans="1:29" hidden="1" x14ac:dyDescent="0.2">
      <c r="A109" s="206"/>
      <c r="B109" s="206"/>
      <c r="C109" s="206"/>
      <c r="D109" s="206"/>
      <c r="E109" s="206"/>
      <c r="F109" s="206"/>
      <c r="G109" s="206"/>
      <c r="H109" s="206"/>
      <c r="I109" s="206"/>
      <c r="J109" s="206"/>
      <c r="K109" s="206"/>
      <c r="L109" s="206"/>
      <c r="M109" s="206"/>
      <c r="N109" s="216"/>
      <c r="O109" s="206"/>
      <c r="P109" s="206"/>
      <c r="Q109" s="206"/>
      <c r="R109" s="206"/>
      <c r="S109" s="206"/>
      <c r="T109" s="206"/>
      <c r="U109" s="206"/>
      <c r="V109" s="206"/>
      <c r="W109" s="206"/>
      <c r="X109" s="206"/>
      <c r="Y109" s="206"/>
      <c r="Z109" s="206"/>
      <c r="AA109" s="206"/>
      <c r="AB109" s="206"/>
      <c r="AC109" s="206"/>
    </row>
    <row r="110" spans="1:29" hidden="1" x14ac:dyDescent="0.2">
      <c r="A110" s="206"/>
      <c r="B110" s="206"/>
      <c r="C110" s="206"/>
      <c r="D110" s="206"/>
      <c r="E110" s="206"/>
      <c r="F110" s="206"/>
      <c r="G110" s="206"/>
      <c r="H110" s="206"/>
      <c r="I110" s="206"/>
      <c r="J110" s="206"/>
      <c r="K110" s="206"/>
      <c r="L110" s="206"/>
      <c r="M110" s="206"/>
      <c r="N110" s="216"/>
      <c r="O110" s="206"/>
      <c r="P110" s="206"/>
      <c r="Q110" s="206"/>
      <c r="R110" s="206"/>
      <c r="S110" s="206"/>
      <c r="T110" s="206"/>
      <c r="U110" s="206"/>
      <c r="V110" s="206"/>
      <c r="W110" s="206"/>
      <c r="X110" s="206"/>
      <c r="Y110" s="206"/>
      <c r="Z110" s="206"/>
      <c r="AA110" s="206"/>
      <c r="AB110" s="206"/>
      <c r="AC110" s="206"/>
    </row>
    <row r="111" spans="1:29" hidden="1" x14ac:dyDescent="0.2">
      <c r="A111" s="206"/>
      <c r="B111" s="206"/>
      <c r="C111" s="206"/>
      <c r="D111" s="206"/>
      <c r="E111" s="206"/>
      <c r="F111" s="206"/>
      <c r="G111" s="206"/>
      <c r="H111" s="206"/>
      <c r="I111" s="206"/>
      <c r="J111" s="206"/>
      <c r="K111" s="206"/>
      <c r="L111" s="206"/>
      <c r="M111" s="206"/>
      <c r="N111" s="216"/>
      <c r="O111" s="206"/>
      <c r="P111" s="206"/>
      <c r="Q111" s="206"/>
      <c r="R111" s="206"/>
      <c r="S111" s="206"/>
      <c r="T111" s="206"/>
      <c r="U111" s="206"/>
      <c r="V111" s="206"/>
      <c r="W111" s="206"/>
      <c r="X111" s="206"/>
      <c r="Y111" s="206"/>
      <c r="Z111" s="206"/>
      <c r="AA111" s="206"/>
      <c r="AB111" s="206"/>
      <c r="AC111" s="206"/>
    </row>
    <row r="112" spans="1:29" hidden="1" x14ac:dyDescent="0.2">
      <c r="A112" s="206"/>
      <c r="B112" s="206"/>
      <c r="C112" s="206"/>
      <c r="D112" s="206"/>
      <c r="E112" s="206"/>
      <c r="F112" s="206"/>
      <c r="G112" s="206"/>
      <c r="H112" s="206"/>
      <c r="I112" s="206"/>
      <c r="J112" s="206"/>
      <c r="K112" s="206"/>
      <c r="L112" s="206"/>
      <c r="M112" s="206"/>
      <c r="N112" s="216"/>
      <c r="O112" s="206"/>
      <c r="P112" s="206"/>
      <c r="Q112" s="206"/>
      <c r="R112" s="206"/>
      <c r="S112" s="206"/>
      <c r="T112" s="206"/>
      <c r="U112" s="206"/>
      <c r="V112" s="206"/>
      <c r="W112" s="206"/>
      <c r="X112" s="206"/>
      <c r="Y112" s="206"/>
      <c r="Z112" s="206"/>
      <c r="AA112" s="206"/>
      <c r="AB112" s="206"/>
      <c r="AC112" s="206"/>
    </row>
    <row r="113" spans="14:14" s="206" customFormat="1" hidden="1" x14ac:dyDescent="0.2">
      <c r="N113" s="216"/>
    </row>
    <row r="114" spans="14:14" s="206" customFormat="1" hidden="1" x14ac:dyDescent="0.2">
      <c r="N114" s="216"/>
    </row>
    <row r="115" spans="14:14" s="206" customFormat="1" hidden="1" x14ac:dyDescent="0.2">
      <c r="N115" s="216"/>
    </row>
    <row r="116" spans="14:14" s="206" customFormat="1" hidden="1" x14ac:dyDescent="0.2">
      <c r="N116" s="216"/>
    </row>
    <row r="117" spans="14:14" s="206" customFormat="1" hidden="1" x14ac:dyDescent="0.2">
      <c r="N117" s="216"/>
    </row>
    <row r="118" spans="14:14" s="206" customFormat="1" hidden="1" x14ac:dyDescent="0.2">
      <c r="N118" s="216"/>
    </row>
    <row r="119" spans="14:14" s="206" customFormat="1" hidden="1" x14ac:dyDescent="0.2">
      <c r="N119" s="216"/>
    </row>
    <row r="120" spans="14:14" s="206" customFormat="1" hidden="1" x14ac:dyDescent="0.2">
      <c r="N120" s="216"/>
    </row>
    <row r="121" spans="14:14" s="206" customFormat="1" hidden="1" x14ac:dyDescent="0.2">
      <c r="N121" s="216"/>
    </row>
    <row r="122" spans="14:14" s="206" customFormat="1" hidden="1" x14ac:dyDescent="0.2">
      <c r="N122" s="216"/>
    </row>
    <row r="123" spans="14:14" s="206" customFormat="1" hidden="1" x14ac:dyDescent="0.2">
      <c r="N123" s="216"/>
    </row>
    <row r="124" spans="14:14" s="206" customFormat="1" hidden="1" x14ac:dyDescent="0.2">
      <c r="N124" s="216"/>
    </row>
    <row r="125" spans="14:14" s="206" customFormat="1" hidden="1" x14ac:dyDescent="0.2">
      <c r="N125" s="216"/>
    </row>
    <row r="126" spans="14:14" s="206" customFormat="1" hidden="1" x14ac:dyDescent="0.2">
      <c r="N126" s="216"/>
    </row>
    <row r="127" spans="14:14" s="206" customFormat="1" hidden="1" x14ac:dyDescent="0.2">
      <c r="N127" s="216"/>
    </row>
    <row r="128" spans="14:14" s="206" customFormat="1" hidden="1" x14ac:dyDescent="0.2">
      <c r="N128" s="216"/>
    </row>
    <row r="129" spans="14:14" s="206" customFormat="1" hidden="1" x14ac:dyDescent="0.2">
      <c r="N129" s="216"/>
    </row>
    <row r="130" spans="14:14" s="206" customFormat="1" hidden="1" x14ac:dyDescent="0.2">
      <c r="N130" s="216"/>
    </row>
    <row r="131" spans="14:14" s="206" customFormat="1" hidden="1" x14ac:dyDescent="0.2">
      <c r="N131" s="216"/>
    </row>
    <row r="132" spans="14:14" s="206" customFormat="1" hidden="1" x14ac:dyDescent="0.2">
      <c r="N132" s="216"/>
    </row>
    <row r="133" spans="14:14" s="206" customFormat="1" hidden="1" x14ac:dyDescent="0.2">
      <c r="N133" s="216"/>
    </row>
    <row r="134" spans="14:14" s="206" customFormat="1" hidden="1" x14ac:dyDescent="0.2">
      <c r="N134" s="216"/>
    </row>
    <row r="135" spans="14:14" s="206" customFormat="1" hidden="1" x14ac:dyDescent="0.2">
      <c r="N135" s="216"/>
    </row>
    <row r="136" spans="14:14" s="206" customFormat="1" hidden="1" x14ac:dyDescent="0.2">
      <c r="N136" s="216"/>
    </row>
    <row r="137" spans="14:14" s="206" customFormat="1" hidden="1" x14ac:dyDescent="0.2">
      <c r="N137" s="216"/>
    </row>
    <row r="138" spans="14:14" s="206" customFormat="1" hidden="1" x14ac:dyDescent="0.2">
      <c r="N138" s="216"/>
    </row>
    <row r="139" spans="14:14" s="206" customFormat="1" hidden="1" x14ac:dyDescent="0.2">
      <c r="N139" s="216"/>
    </row>
    <row r="140" spans="14:14" s="206" customFormat="1" hidden="1" x14ac:dyDescent="0.2">
      <c r="N140" s="216"/>
    </row>
    <row r="141" spans="14:14" s="206" customFormat="1" hidden="1" x14ac:dyDescent="0.2">
      <c r="N141" s="216"/>
    </row>
    <row r="142" spans="14:14" s="206" customFormat="1" hidden="1" x14ac:dyDescent="0.2">
      <c r="N142" s="216"/>
    </row>
    <row r="143" spans="14:14" s="206" customFormat="1" hidden="1" x14ac:dyDescent="0.2">
      <c r="N143" s="216"/>
    </row>
    <row r="144" spans="14:14" s="206" customFormat="1" hidden="1" x14ac:dyDescent="0.2">
      <c r="N144" s="216"/>
    </row>
    <row r="145" spans="14:14" s="206" customFormat="1" hidden="1" x14ac:dyDescent="0.2">
      <c r="N145" s="216"/>
    </row>
    <row r="146" spans="14:14" s="206" customFormat="1" hidden="1" x14ac:dyDescent="0.2">
      <c r="N146" s="216"/>
    </row>
    <row r="147" spans="14:14" s="206" customFormat="1" x14ac:dyDescent="0.2">
      <c r="N147" s="216"/>
    </row>
    <row r="148" spans="14:14" s="206" customFormat="1" x14ac:dyDescent="0.2">
      <c r="N148" s="216"/>
    </row>
    <row r="149" spans="14:14" s="206" customFormat="1" x14ac:dyDescent="0.2">
      <c r="N149" s="216"/>
    </row>
    <row r="150" spans="14:14" s="206" customFormat="1" x14ac:dyDescent="0.2">
      <c r="N150" s="216"/>
    </row>
    <row r="151" spans="14:14" s="206" customFormat="1" x14ac:dyDescent="0.2">
      <c r="N151" s="216"/>
    </row>
    <row r="152" spans="14:14" s="206" customFormat="1" x14ac:dyDescent="0.2">
      <c r="N152" s="216"/>
    </row>
    <row r="153" spans="14:14" s="206" customFormat="1" x14ac:dyDescent="0.2">
      <c r="N153" s="216"/>
    </row>
    <row r="154" spans="14:14" s="206" customFormat="1" x14ac:dyDescent="0.2">
      <c r="N154" s="216"/>
    </row>
    <row r="155" spans="14:14" s="206" customFormat="1" x14ac:dyDescent="0.2">
      <c r="N155" s="216"/>
    </row>
    <row r="156" spans="14:14" s="206" customFormat="1" x14ac:dyDescent="0.2">
      <c r="N156" s="216"/>
    </row>
    <row r="157" spans="14:14" s="206" customFormat="1" x14ac:dyDescent="0.2">
      <c r="N157" s="216"/>
    </row>
    <row r="158" spans="14:14" s="206" customFormat="1" x14ac:dyDescent="0.2">
      <c r="N158" s="216"/>
    </row>
    <row r="159" spans="14:14" s="206" customFormat="1" x14ac:dyDescent="0.2">
      <c r="N159" s="216"/>
    </row>
    <row r="160" spans="14:14" s="206" customFormat="1" x14ac:dyDescent="0.2">
      <c r="N160" s="216"/>
    </row>
    <row r="161" spans="14:14" s="206" customFormat="1" x14ac:dyDescent="0.2">
      <c r="N161" s="216"/>
    </row>
    <row r="162" spans="14:14" s="206" customFormat="1" x14ac:dyDescent="0.2">
      <c r="N162" s="216"/>
    </row>
  </sheetData>
  <mergeCells count="18">
    <mergeCell ref="A93:AC93"/>
    <mergeCell ref="A94:I94"/>
    <mergeCell ref="A103:E103"/>
    <mergeCell ref="D29:F29"/>
    <mergeCell ref="A13:P13"/>
    <mergeCell ref="A15:P15"/>
    <mergeCell ref="A16:P16"/>
    <mergeCell ref="A18:P18"/>
    <mergeCell ref="D27:F27"/>
    <mergeCell ref="D28:F28"/>
    <mergeCell ref="A98:A99"/>
    <mergeCell ref="B98:M98"/>
    <mergeCell ref="D30:F30"/>
    <mergeCell ref="A5:P5"/>
    <mergeCell ref="A7:P7"/>
    <mergeCell ref="A9:P9"/>
    <mergeCell ref="A10:P10"/>
    <mergeCell ref="A12:P1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tabSelected="1" view="pageBreakPreview" topLeftCell="A44" zoomScale="80" zoomScaleSheetLayoutView="80" workbookViewId="0">
      <selection activeCell="G47" sqref="G47"/>
    </sheetView>
  </sheetViews>
  <sheetFormatPr defaultRowHeight="15.75" x14ac:dyDescent="0.25"/>
  <cols>
    <col min="1" max="1" width="9.140625" style="32"/>
    <col min="2" max="2" width="37.7109375" style="32" customWidth="1"/>
    <col min="3" max="4" width="16" style="32" customWidth="1"/>
    <col min="5" max="6" width="16" style="32" hidden="1" customWidth="1"/>
    <col min="7"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x14ac:dyDescent="0.25">
      <c r="K1" s="21" t="s">
        <v>66</v>
      </c>
    </row>
    <row r="2" spans="1:43" ht="18.75" x14ac:dyDescent="0.3">
      <c r="K2" s="12" t="s">
        <v>8</v>
      </c>
    </row>
    <row r="3" spans="1:43" ht="18.75" x14ac:dyDescent="0.3">
      <c r="K3" s="12" t="s">
        <v>65</v>
      </c>
    </row>
    <row r="4" spans="1:43" ht="18.75" x14ac:dyDescent="0.3">
      <c r="K4" s="12"/>
    </row>
    <row r="5" spans="1:43" x14ac:dyDescent="0.25">
      <c r="A5" s="302" t="str">
        <f>'1. паспорт местоположение'!A5:C5</f>
        <v>Год раскрытия информации: 2024  год</v>
      </c>
      <c r="B5" s="302"/>
      <c r="C5" s="302"/>
      <c r="D5" s="302"/>
      <c r="E5" s="302"/>
      <c r="F5" s="302"/>
      <c r="G5" s="302"/>
      <c r="H5" s="302"/>
      <c r="I5" s="302"/>
      <c r="J5" s="302"/>
      <c r="K5" s="302"/>
      <c r="L5" s="86"/>
      <c r="M5" s="86"/>
      <c r="N5" s="86"/>
      <c r="O5" s="86"/>
      <c r="P5" s="86"/>
      <c r="Q5" s="86"/>
      <c r="R5" s="86"/>
      <c r="S5" s="86"/>
      <c r="T5" s="86"/>
      <c r="U5" s="86"/>
      <c r="V5" s="86"/>
      <c r="W5" s="86"/>
      <c r="X5" s="86"/>
      <c r="Y5" s="86"/>
      <c r="Z5" s="86"/>
      <c r="AA5" s="86"/>
      <c r="AB5" s="86"/>
      <c r="AC5" s="86"/>
      <c r="AD5" s="86"/>
      <c r="AE5" s="86"/>
      <c r="AF5" s="86"/>
      <c r="AG5" s="86"/>
      <c r="AH5" s="86"/>
      <c r="AI5" s="86"/>
      <c r="AJ5" s="86"/>
      <c r="AK5" s="86"/>
      <c r="AL5" s="86"/>
      <c r="AM5" s="86"/>
      <c r="AN5" s="86"/>
      <c r="AO5" s="86"/>
      <c r="AP5" s="86"/>
      <c r="AQ5" s="86"/>
    </row>
    <row r="6" spans="1:43" ht="18.75" x14ac:dyDescent="0.3">
      <c r="K6" s="12"/>
    </row>
    <row r="7" spans="1:43" ht="18.75" x14ac:dyDescent="0.25">
      <c r="A7" s="311" t="s">
        <v>7</v>
      </c>
      <c r="B7" s="311"/>
      <c r="C7" s="311"/>
      <c r="D7" s="311"/>
      <c r="E7" s="311"/>
      <c r="F7" s="311"/>
      <c r="G7" s="311"/>
      <c r="H7" s="311"/>
      <c r="I7" s="311"/>
      <c r="J7" s="311"/>
      <c r="K7" s="311"/>
    </row>
    <row r="8" spans="1:43" ht="18.75" x14ac:dyDescent="0.25">
      <c r="A8" s="311"/>
      <c r="B8" s="311"/>
      <c r="C8" s="311"/>
      <c r="D8" s="311"/>
      <c r="E8" s="311"/>
      <c r="F8" s="311"/>
      <c r="G8" s="311"/>
      <c r="H8" s="311"/>
      <c r="I8" s="311"/>
      <c r="J8" s="311"/>
      <c r="K8" s="311"/>
    </row>
    <row r="9" spans="1:43" x14ac:dyDescent="0.25">
      <c r="A9" s="309" t="str">
        <f>'1. паспорт местоположение'!A9:C9</f>
        <v xml:space="preserve">Акционерное общество "Западная энергетическая компания" </v>
      </c>
      <c r="B9" s="309"/>
      <c r="C9" s="309"/>
      <c r="D9" s="309"/>
      <c r="E9" s="309"/>
      <c r="F9" s="309"/>
      <c r="G9" s="309"/>
      <c r="H9" s="309"/>
      <c r="I9" s="309"/>
      <c r="J9" s="309"/>
      <c r="K9" s="309"/>
    </row>
    <row r="10" spans="1:43" x14ac:dyDescent="0.25">
      <c r="A10" s="315" t="s">
        <v>6</v>
      </c>
      <c r="B10" s="315"/>
      <c r="C10" s="315"/>
      <c r="D10" s="315"/>
      <c r="E10" s="315"/>
      <c r="F10" s="315"/>
      <c r="G10" s="315"/>
      <c r="H10" s="315"/>
      <c r="I10" s="315"/>
      <c r="J10" s="315"/>
      <c r="K10" s="315"/>
    </row>
    <row r="11" spans="1:43" ht="18.75" x14ac:dyDescent="0.25">
      <c r="A11" s="311"/>
      <c r="B11" s="311"/>
      <c r="C11" s="311"/>
      <c r="D11" s="311"/>
      <c r="E11" s="311"/>
      <c r="F11" s="311"/>
      <c r="G11" s="311"/>
      <c r="H11" s="311"/>
      <c r="I11" s="311"/>
      <c r="J11" s="311"/>
      <c r="K11" s="311"/>
    </row>
    <row r="12" spans="1:43" x14ac:dyDescent="0.25">
      <c r="A12" s="309" t="str">
        <f>'1. паспорт местоположение'!A12:C12</f>
        <v>J 19-09</v>
      </c>
      <c r="B12" s="309"/>
      <c r="C12" s="309"/>
      <c r="D12" s="309"/>
      <c r="E12" s="309"/>
      <c r="F12" s="309"/>
      <c r="G12" s="309"/>
      <c r="H12" s="309"/>
      <c r="I12" s="309"/>
      <c r="J12" s="309"/>
      <c r="K12" s="309"/>
    </row>
    <row r="13" spans="1:43" x14ac:dyDescent="0.25">
      <c r="A13" s="315" t="s">
        <v>5</v>
      </c>
      <c r="B13" s="315"/>
      <c r="C13" s="315"/>
      <c r="D13" s="315"/>
      <c r="E13" s="315"/>
      <c r="F13" s="315"/>
      <c r="G13" s="315"/>
      <c r="H13" s="315"/>
      <c r="I13" s="315"/>
      <c r="J13" s="315"/>
      <c r="K13" s="315"/>
    </row>
    <row r="14" spans="1:43" ht="18.75" x14ac:dyDescent="0.25">
      <c r="A14" s="316"/>
      <c r="B14" s="316"/>
      <c r="C14" s="316"/>
      <c r="D14" s="316"/>
      <c r="E14" s="316"/>
      <c r="F14" s="316"/>
      <c r="G14" s="316"/>
      <c r="H14" s="316"/>
      <c r="I14" s="316"/>
      <c r="J14" s="316"/>
      <c r="K14" s="316"/>
    </row>
    <row r="15" spans="1:43" x14ac:dyDescent="0.25">
      <c r="A15" s="309" t="str">
        <f>'1. паспорт местоположение'!A15:C15</f>
        <v>Реконструкция ТП 15/6/0,4кВ  ТП-5 с заменой ячеек КРУ 15кВ с  маслянными выключателями SCI-20 ячейки  на КРУ-15кВ с вакуумными выключателями 9 шт., заменой ячеек КРУ 6 кВ с воздушными выключателями нагрузки на КРУ  с элегазовыми выключателями нагрузки;  с установкой 2-го трансформатора 15 кВ мощностью 0,8 МВА,с приростом мощности на 0,8 МВА; заменой трансформатора 6 кВ мощностью 0,18 МВА  на 0,25 МВА, с приростом мощности 0,07 МВА, в п.Северный, Багратионовского р-на</v>
      </c>
      <c r="B15" s="309"/>
      <c r="C15" s="309"/>
      <c r="D15" s="309"/>
      <c r="E15" s="309"/>
      <c r="F15" s="309"/>
      <c r="G15" s="309"/>
      <c r="H15" s="309"/>
      <c r="I15" s="309"/>
      <c r="J15" s="309"/>
      <c r="K15" s="309"/>
    </row>
    <row r="16" spans="1:43" x14ac:dyDescent="0.25">
      <c r="A16" s="303" t="s">
        <v>4</v>
      </c>
      <c r="B16" s="303"/>
      <c r="C16" s="303"/>
      <c r="D16" s="303"/>
      <c r="E16" s="303"/>
      <c r="F16" s="303"/>
      <c r="G16" s="303"/>
      <c r="H16" s="303"/>
      <c r="I16" s="303"/>
      <c r="J16" s="303"/>
      <c r="K16" s="303"/>
    </row>
    <row r="17" spans="1:11" ht="15.75" customHeight="1" x14ac:dyDescent="0.25"/>
    <row r="18" spans="1:11" x14ac:dyDescent="0.25">
      <c r="K18" s="24"/>
    </row>
    <row r="19" spans="1:11" ht="15.75" customHeight="1" x14ac:dyDescent="0.25">
      <c r="A19" s="365" t="s">
        <v>393</v>
      </c>
      <c r="B19" s="365"/>
      <c r="C19" s="365"/>
      <c r="D19" s="365"/>
      <c r="E19" s="365"/>
      <c r="F19" s="365"/>
      <c r="G19" s="365"/>
      <c r="H19" s="365"/>
      <c r="I19" s="365"/>
      <c r="J19" s="365"/>
      <c r="K19" s="365"/>
    </row>
    <row r="20" spans="1:11" x14ac:dyDescent="0.25">
      <c r="A20" s="35"/>
      <c r="B20" s="35"/>
    </row>
    <row r="21" spans="1:11" ht="28.5" customHeight="1" x14ac:dyDescent="0.25">
      <c r="A21" s="360" t="s">
        <v>199</v>
      </c>
      <c r="B21" s="360" t="s">
        <v>485</v>
      </c>
      <c r="C21" s="360" t="s">
        <v>352</v>
      </c>
      <c r="D21" s="360"/>
      <c r="E21" s="360"/>
      <c r="F21" s="360"/>
      <c r="G21" s="360"/>
      <c r="H21" s="360"/>
      <c r="I21" s="360" t="s">
        <v>198</v>
      </c>
      <c r="J21" s="361" t="s">
        <v>353</v>
      </c>
      <c r="K21" s="360" t="s">
        <v>197</v>
      </c>
    </row>
    <row r="22" spans="1:11" ht="58.5" customHeight="1" x14ac:dyDescent="0.25">
      <c r="A22" s="360"/>
      <c r="B22" s="360"/>
      <c r="C22" s="364" t="s">
        <v>536</v>
      </c>
      <c r="D22" s="364"/>
      <c r="E22" s="364" t="s">
        <v>9</v>
      </c>
      <c r="F22" s="364"/>
      <c r="G22" s="364" t="s">
        <v>537</v>
      </c>
      <c r="H22" s="364"/>
      <c r="I22" s="360"/>
      <c r="J22" s="362"/>
      <c r="K22" s="360"/>
    </row>
    <row r="23" spans="1:11" ht="31.5" x14ac:dyDescent="0.25">
      <c r="A23" s="360"/>
      <c r="B23" s="360"/>
      <c r="C23" s="157" t="s">
        <v>196</v>
      </c>
      <c r="D23" s="157" t="s">
        <v>195</v>
      </c>
      <c r="E23" s="157" t="s">
        <v>196</v>
      </c>
      <c r="F23" s="157" t="s">
        <v>195</v>
      </c>
      <c r="G23" s="157" t="s">
        <v>196</v>
      </c>
      <c r="H23" s="157" t="s">
        <v>195</v>
      </c>
      <c r="I23" s="360"/>
      <c r="J23" s="363"/>
      <c r="K23" s="360"/>
    </row>
    <row r="24" spans="1:11" x14ac:dyDescent="0.25">
      <c r="A24" s="158">
        <v>1</v>
      </c>
      <c r="B24" s="158">
        <v>2</v>
      </c>
      <c r="C24" s="157">
        <v>3</v>
      </c>
      <c r="D24" s="157">
        <v>4</v>
      </c>
      <c r="E24" s="157">
        <v>5</v>
      </c>
      <c r="F24" s="157">
        <v>6</v>
      </c>
      <c r="G24" s="157">
        <v>7</v>
      </c>
      <c r="H24" s="157">
        <v>8</v>
      </c>
      <c r="I24" s="157">
        <v>9</v>
      </c>
      <c r="J24" s="157">
        <v>10</v>
      </c>
      <c r="K24" s="157">
        <v>11</v>
      </c>
    </row>
    <row r="25" spans="1:11" x14ac:dyDescent="0.25">
      <c r="A25" s="157">
        <v>1</v>
      </c>
      <c r="B25" s="162" t="s">
        <v>194</v>
      </c>
      <c r="C25" s="163"/>
      <c r="D25" s="163"/>
      <c r="E25" s="173"/>
      <c r="F25" s="173"/>
      <c r="G25" s="163"/>
      <c r="H25" s="163"/>
      <c r="I25" s="173"/>
      <c r="J25" s="153"/>
      <c r="K25" s="154"/>
    </row>
    <row r="26" spans="1:11" x14ac:dyDescent="0.25">
      <c r="A26" s="157" t="s">
        <v>486</v>
      </c>
      <c r="B26" s="166" t="s">
        <v>487</v>
      </c>
      <c r="C26" s="163" t="s">
        <v>436</v>
      </c>
      <c r="D26" s="163" t="s">
        <v>436</v>
      </c>
      <c r="E26" s="174">
        <v>42859</v>
      </c>
      <c r="F26" s="174">
        <v>42859</v>
      </c>
      <c r="G26" s="163" t="s">
        <v>436</v>
      </c>
      <c r="H26" s="163" t="s">
        <v>436</v>
      </c>
      <c r="I26" s="175"/>
      <c r="J26" s="153"/>
      <c r="K26" s="154"/>
    </row>
    <row r="27" spans="1:11" ht="31.5" x14ac:dyDescent="0.25">
      <c r="A27" s="157" t="s">
        <v>488</v>
      </c>
      <c r="B27" s="166" t="s">
        <v>489</v>
      </c>
      <c r="C27" s="163" t="s">
        <v>436</v>
      </c>
      <c r="D27" s="163" t="s">
        <v>436</v>
      </c>
      <c r="E27" s="174">
        <v>42807</v>
      </c>
      <c r="F27" s="174">
        <v>42807</v>
      </c>
      <c r="G27" s="163" t="s">
        <v>436</v>
      </c>
      <c r="H27" s="163" t="s">
        <v>436</v>
      </c>
      <c r="I27" s="175"/>
      <c r="J27" s="153"/>
      <c r="K27" s="154"/>
    </row>
    <row r="28" spans="1:11" ht="63" x14ac:dyDescent="0.25">
      <c r="A28" s="157" t="s">
        <v>491</v>
      </c>
      <c r="B28" s="166" t="s">
        <v>490</v>
      </c>
      <c r="C28" s="163" t="s">
        <v>436</v>
      </c>
      <c r="D28" s="163" t="s">
        <v>436</v>
      </c>
      <c r="E28" s="174" t="s">
        <v>436</v>
      </c>
      <c r="F28" s="174" t="s">
        <v>436</v>
      </c>
      <c r="G28" s="163" t="s">
        <v>436</v>
      </c>
      <c r="H28" s="163" t="s">
        <v>436</v>
      </c>
      <c r="I28" s="175"/>
      <c r="J28" s="153"/>
      <c r="K28" s="154"/>
    </row>
    <row r="29" spans="1:11" ht="31.5" x14ac:dyDescent="0.25">
      <c r="A29" s="157" t="s">
        <v>493</v>
      </c>
      <c r="B29" s="166" t="s">
        <v>492</v>
      </c>
      <c r="C29" s="163" t="s">
        <v>436</v>
      </c>
      <c r="D29" s="163" t="s">
        <v>436</v>
      </c>
      <c r="E29" s="174" t="s">
        <v>436</v>
      </c>
      <c r="F29" s="174" t="s">
        <v>436</v>
      </c>
      <c r="G29" s="163" t="s">
        <v>436</v>
      </c>
      <c r="H29" s="163" t="s">
        <v>436</v>
      </c>
      <c r="I29" s="175"/>
      <c r="J29" s="153"/>
      <c r="K29" s="154"/>
    </row>
    <row r="30" spans="1:11" ht="31.5" x14ac:dyDescent="0.25">
      <c r="A30" s="157" t="s">
        <v>495</v>
      </c>
      <c r="B30" s="166" t="s">
        <v>494</v>
      </c>
      <c r="C30" s="163" t="s">
        <v>436</v>
      </c>
      <c r="D30" s="163" t="s">
        <v>436</v>
      </c>
      <c r="E30" s="174" t="s">
        <v>436</v>
      </c>
      <c r="F30" s="174" t="s">
        <v>436</v>
      </c>
      <c r="G30" s="163" t="s">
        <v>436</v>
      </c>
      <c r="H30" s="163" t="s">
        <v>436</v>
      </c>
      <c r="I30" s="175"/>
      <c r="J30" s="153"/>
      <c r="K30" s="154"/>
    </row>
    <row r="31" spans="1:11" ht="31.5" x14ac:dyDescent="0.25">
      <c r="A31" s="157" t="s">
        <v>497</v>
      </c>
      <c r="B31" s="166" t="s">
        <v>496</v>
      </c>
      <c r="C31" s="163">
        <v>44866</v>
      </c>
      <c r="D31" s="163">
        <v>44926</v>
      </c>
      <c r="E31" s="174">
        <v>41806</v>
      </c>
      <c r="F31" s="174">
        <v>41806</v>
      </c>
      <c r="G31" s="163">
        <v>44866</v>
      </c>
      <c r="H31" s="163">
        <v>44926</v>
      </c>
      <c r="I31" s="175"/>
      <c r="J31" s="153"/>
      <c r="K31" s="154"/>
    </row>
    <row r="32" spans="1:11" ht="31.5" x14ac:dyDescent="0.25">
      <c r="A32" s="157" t="s">
        <v>499</v>
      </c>
      <c r="B32" s="166" t="s">
        <v>498</v>
      </c>
      <c r="C32" s="163">
        <v>45292</v>
      </c>
      <c r="D32" s="163">
        <v>45311</v>
      </c>
      <c r="E32" s="174">
        <v>42597</v>
      </c>
      <c r="F32" s="174">
        <v>42597</v>
      </c>
      <c r="G32" s="163">
        <v>45292</v>
      </c>
      <c r="H32" s="163">
        <v>45311</v>
      </c>
      <c r="I32" s="175"/>
      <c r="J32" s="153"/>
      <c r="K32" s="154"/>
    </row>
    <row r="33" spans="1:11" ht="47.25" x14ac:dyDescent="0.25">
      <c r="A33" s="157" t="s">
        <v>501</v>
      </c>
      <c r="B33" s="166" t="s">
        <v>500</v>
      </c>
      <c r="C33" s="163" t="s">
        <v>436</v>
      </c>
      <c r="D33" s="163" t="s">
        <v>436</v>
      </c>
      <c r="E33" s="174">
        <v>42720</v>
      </c>
      <c r="F33" s="174">
        <v>42720</v>
      </c>
      <c r="G33" s="163" t="s">
        <v>436</v>
      </c>
      <c r="H33" s="163" t="s">
        <v>436</v>
      </c>
      <c r="I33" s="175"/>
      <c r="J33" s="153"/>
      <c r="K33" s="154"/>
    </row>
    <row r="34" spans="1:11" ht="63" x14ac:dyDescent="0.25">
      <c r="A34" s="157" t="s">
        <v>503</v>
      </c>
      <c r="B34" s="166" t="s">
        <v>502</v>
      </c>
      <c r="C34" s="163" t="s">
        <v>436</v>
      </c>
      <c r="D34" s="163" t="s">
        <v>436</v>
      </c>
      <c r="E34" s="174" t="s">
        <v>436</v>
      </c>
      <c r="F34" s="174" t="s">
        <v>436</v>
      </c>
      <c r="G34" s="163" t="s">
        <v>436</v>
      </c>
      <c r="H34" s="163" t="s">
        <v>436</v>
      </c>
      <c r="I34" s="175"/>
      <c r="J34" s="155"/>
      <c r="K34" s="155"/>
    </row>
    <row r="35" spans="1:11" ht="31.5" x14ac:dyDescent="0.25">
      <c r="A35" s="157" t="s">
        <v>504</v>
      </c>
      <c r="B35" s="166" t="s">
        <v>193</v>
      </c>
      <c r="C35" s="163">
        <v>45301</v>
      </c>
      <c r="D35" s="163">
        <v>45311</v>
      </c>
      <c r="E35" s="174">
        <v>42731</v>
      </c>
      <c r="F35" s="174">
        <v>42731</v>
      </c>
      <c r="G35" s="163">
        <v>45301</v>
      </c>
      <c r="H35" s="163">
        <v>45311</v>
      </c>
      <c r="I35" s="175"/>
      <c r="J35" s="155"/>
      <c r="K35" s="155"/>
    </row>
    <row r="36" spans="1:11" ht="31.5" x14ac:dyDescent="0.25">
      <c r="A36" s="157" t="s">
        <v>506</v>
      </c>
      <c r="B36" s="166" t="s">
        <v>505</v>
      </c>
      <c r="C36" s="163" t="s">
        <v>436</v>
      </c>
      <c r="D36" s="163" t="s">
        <v>436</v>
      </c>
      <c r="E36" s="174">
        <v>42993</v>
      </c>
      <c r="F36" s="174">
        <v>42993</v>
      </c>
      <c r="G36" s="163" t="s">
        <v>436</v>
      </c>
      <c r="H36" s="163" t="s">
        <v>436</v>
      </c>
      <c r="I36" s="175"/>
      <c r="J36" s="165"/>
      <c r="K36" s="154"/>
    </row>
    <row r="37" spans="1:11" x14ac:dyDescent="0.25">
      <c r="A37" s="157" t="s">
        <v>507</v>
      </c>
      <c r="B37" s="166" t="s">
        <v>192</v>
      </c>
      <c r="C37" s="163">
        <v>44866</v>
      </c>
      <c r="D37" s="163">
        <v>45291</v>
      </c>
      <c r="E37" s="174">
        <v>43054</v>
      </c>
      <c r="F37" s="174">
        <v>43305</v>
      </c>
      <c r="G37" s="163">
        <v>44866</v>
      </c>
      <c r="H37" s="163">
        <v>45291</v>
      </c>
      <c r="I37" s="175"/>
      <c r="J37" s="156"/>
      <c r="K37" s="154"/>
    </row>
    <row r="38" spans="1:11" x14ac:dyDescent="0.25">
      <c r="A38" s="164" t="s">
        <v>508</v>
      </c>
      <c r="B38" s="167" t="s">
        <v>191</v>
      </c>
      <c r="C38" s="163"/>
      <c r="D38" s="163"/>
      <c r="E38" s="174"/>
      <c r="F38" s="174"/>
      <c r="G38" s="163"/>
      <c r="H38" s="163"/>
      <c r="I38" s="175"/>
      <c r="J38" s="154"/>
      <c r="K38" s="154"/>
    </row>
    <row r="39" spans="1:11" ht="63" x14ac:dyDescent="0.25">
      <c r="A39" s="157" t="s">
        <v>510</v>
      </c>
      <c r="B39" s="166" t="s">
        <v>509</v>
      </c>
      <c r="C39" s="163">
        <v>44946</v>
      </c>
      <c r="D39" s="163">
        <v>44957</v>
      </c>
      <c r="E39" s="174">
        <v>42843</v>
      </c>
      <c r="F39" s="174">
        <v>42843</v>
      </c>
      <c r="G39" s="163">
        <v>44946</v>
      </c>
      <c r="H39" s="163">
        <v>44957</v>
      </c>
      <c r="I39" s="175"/>
      <c r="J39" s="154"/>
      <c r="K39" s="154"/>
    </row>
    <row r="40" spans="1:11" x14ac:dyDescent="0.25">
      <c r="A40" s="157" t="s">
        <v>512</v>
      </c>
      <c r="B40" s="166" t="s">
        <v>511</v>
      </c>
      <c r="C40" s="163">
        <v>44958</v>
      </c>
      <c r="D40" s="163">
        <v>45047</v>
      </c>
      <c r="E40" s="174">
        <v>43038</v>
      </c>
      <c r="F40" s="174">
        <v>43038</v>
      </c>
      <c r="G40" s="163">
        <v>44958</v>
      </c>
      <c r="H40" s="163">
        <v>45261</v>
      </c>
      <c r="I40" s="175"/>
      <c r="J40" s="154"/>
      <c r="K40" s="154"/>
    </row>
    <row r="41" spans="1:11" ht="47.25" x14ac:dyDescent="0.25">
      <c r="A41" s="157" t="s">
        <v>514</v>
      </c>
      <c r="B41" s="167" t="s">
        <v>513</v>
      </c>
      <c r="C41" s="163"/>
      <c r="D41" s="163"/>
      <c r="E41" s="174"/>
      <c r="F41" s="174"/>
      <c r="G41" s="163"/>
      <c r="H41" s="163"/>
      <c r="I41" s="175"/>
      <c r="J41" s="154"/>
      <c r="K41" s="154"/>
    </row>
    <row r="42" spans="1:11" ht="31.5" x14ac:dyDescent="0.25">
      <c r="A42" s="157" t="s">
        <v>516</v>
      </c>
      <c r="B42" s="166" t="s">
        <v>515</v>
      </c>
      <c r="C42" s="163">
        <v>44958</v>
      </c>
      <c r="D42" s="163">
        <v>44986</v>
      </c>
      <c r="E42" s="174">
        <v>43070</v>
      </c>
      <c r="F42" s="174">
        <v>43097</v>
      </c>
      <c r="G42" s="163">
        <v>44958</v>
      </c>
      <c r="H42" s="163">
        <v>45352</v>
      </c>
      <c r="I42" s="175"/>
      <c r="J42" s="154"/>
      <c r="K42" s="154"/>
    </row>
    <row r="43" spans="1:11" x14ac:dyDescent="0.25">
      <c r="A43" s="157" t="s">
        <v>517</v>
      </c>
      <c r="B43" s="166" t="s">
        <v>190</v>
      </c>
      <c r="C43" s="189">
        <v>45107</v>
      </c>
      <c r="D43" s="189">
        <v>45168</v>
      </c>
      <c r="E43" s="174">
        <v>43054</v>
      </c>
      <c r="F43" s="174">
        <v>43218</v>
      </c>
      <c r="G43" s="189">
        <v>45107</v>
      </c>
      <c r="H43" s="189">
        <v>45534</v>
      </c>
      <c r="I43" s="175"/>
      <c r="J43" s="154"/>
      <c r="K43" s="154"/>
    </row>
    <row r="44" spans="1:11" x14ac:dyDescent="0.25">
      <c r="A44" s="157" t="s">
        <v>518</v>
      </c>
      <c r="B44" s="166" t="s">
        <v>189</v>
      </c>
      <c r="C44" s="189">
        <v>45170</v>
      </c>
      <c r="D44" s="189">
        <v>45291</v>
      </c>
      <c r="E44" s="174">
        <v>43084</v>
      </c>
      <c r="F44" s="174">
        <v>43266</v>
      </c>
      <c r="G44" s="189">
        <v>45170</v>
      </c>
      <c r="H44" s="189">
        <v>45657</v>
      </c>
      <c r="I44" s="175"/>
      <c r="J44" s="154"/>
      <c r="K44" s="154"/>
    </row>
    <row r="45" spans="1:11" ht="78.75" x14ac:dyDescent="0.25">
      <c r="A45" s="157" t="s">
        <v>520</v>
      </c>
      <c r="B45" s="166" t="s">
        <v>519</v>
      </c>
      <c r="C45" s="189">
        <v>45170</v>
      </c>
      <c r="D45" s="189">
        <v>45291</v>
      </c>
      <c r="E45" s="174">
        <v>43084</v>
      </c>
      <c r="F45" s="174">
        <v>43266</v>
      </c>
      <c r="G45" s="189">
        <v>45170</v>
      </c>
      <c r="H45" s="189">
        <v>45291</v>
      </c>
      <c r="I45" s="175"/>
      <c r="J45" s="154"/>
      <c r="K45" s="154"/>
    </row>
    <row r="46" spans="1:11" ht="157.5" x14ac:dyDescent="0.25">
      <c r="A46" s="157" t="s">
        <v>522</v>
      </c>
      <c r="B46" s="166" t="s">
        <v>521</v>
      </c>
      <c r="C46" s="189" t="s">
        <v>436</v>
      </c>
      <c r="D46" s="189" t="s">
        <v>436</v>
      </c>
      <c r="E46" s="174">
        <v>43319</v>
      </c>
      <c r="F46" s="174">
        <v>43319</v>
      </c>
      <c r="G46" s="189" t="s">
        <v>436</v>
      </c>
      <c r="H46" s="189" t="s">
        <v>436</v>
      </c>
      <c r="I46" s="175"/>
      <c r="J46" s="154"/>
      <c r="K46" s="154"/>
    </row>
    <row r="47" spans="1:11" x14ac:dyDescent="0.25">
      <c r="A47" s="157" t="s">
        <v>532</v>
      </c>
      <c r="B47" s="166" t="s">
        <v>188</v>
      </c>
      <c r="C47" s="190">
        <v>45301</v>
      </c>
      <c r="D47" s="189">
        <v>45342</v>
      </c>
      <c r="E47" s="174">
        <v>43220</v>
      </c>
      <c r="F47" s="174">
        <v>43318</v>
      </c>
      <c r="G47" s="190">
        <v>45301</v>
      </c>
      <c r="H47" s="189">
        <v>45646</v>
      </c>
      <c r="I47" s="175"/>
      <c r="J47" s="154"/>
      <c r="K47" s="154"/>
    </row>
    <row r="48" spans="1:11" ht="31.5" x14ac:dyDescent="0.25">
      <c r="A48" s="157" t="s">
        <v>523</v>
      </c>
      <c r="B48" s="167" t="s">
        <v>187</v>
      </c>
      <c r="C48" s="163"/>
      <c r="D48" s="163"/>
      <c r="E48" s="174"/>
      <c r="F48" s="174"/>
      <c r="G48" s="163"/>
      <c r="H48" s="163"/>
      <c r="I48" s="175"/>
      <c r="J48" s="154"/>
      <c r="K48" s="154"/>
    </row>
    <row r="49" spans="1:11" ht="31.5" x14ac:dyDescent="0.25">
      <c r="A49" s="157" t="s">
        <v>533</v>
      </c>
      <c r="B49" s="166" t="s">
        <v>186</v>
      </c>
      <c r="C49" s="163">
        <v>45342</v>
      </c>
      <c r="D49" s="163">
        <v>45361</v>
      </c>
      <c r="E49" s="174">
        <v>43318</v>
      </c>
      <c r="F49" s="174">
        <v>43320</v>
      </c>
      <c r="G49" s="163">
        <v>45585</v>
      </c>
      <c r="H49" s="163">
        <v>45636</v>
      </c>
      <c r="I49" s="175"/>
      <c r="J49" s="154"/>
      <c r="K49" s="154"/>
    </row>
    <row r="50" spans="1:11" ht="78.75" x14ac:dyDescent="0.25">
      <c r="A50" s="164" t="s">
        <v>525</v>
      </c>
      <c r="B50" s="166" t="s">
        <v>524</v>
      </c>
      <c r="C50" s="163">
        <v>45342</v>
      </c>
      <c r="D50" s="163">
        <v>45361</v>
      </c>
      <c r="E50" s="174">
        <v>43318</v>
      </c>
      <c r="F50" s="174">
        <v>43320</v>
      </c>
      <c r="G50" s="163">
        <v>45585</v>
      </c>
      <c r="H50" s="163">
        <v>45636</v>
      </c>
      <c r="I50" s="175"/>
      <c r="J50" s="154"/>
      <c r="K50" s="154"/>
    </row>
    <row r="51" spans="1:11" ht="63" x14ac:dyDescent="0.25">
      <c r="A51" s="157" t="s">
        <v>527</v>
      </c>
      <c r="B51" s="166" t="s">
        <v>526</v>
      </c>
      <c r="C51" s="163">
        <v>45342</v>
      </c>
      <c r="D51" s="163">
        <v>45361</v>
      </c>
      <c r="E51" s="174">
        <v>43318</v>
      </c>
      <c r="F51" s="174">
        <v>43320</v>
      </c>
      <c r="G51" s="163">
        <v>45585</v>
      </c>
      <c r="H51" s="163">
        <v>45636</v>
      </c>
      <c r="I51" s="175"/>
      <c r="J51" s="154"/>
      <c r="K51" s="154"/>
    </row>
    <row r="52" spans="1:11" ht="63" x14ac:dyDescent="0.25">
      <c r="A52" s="157" t="s">
        <v>528</v>
      </c>
      <c r="B52" s="166" t="s">
        <v>185</v>
      </c>
      <c r="C52" s="163" t="s">
        <v>436</v>
      </c>
      <c r="D52" s="163" t="s">
        <v>436</v>
      </c>
      <c r="E52" s="174"/>
      <c r="F52" s="174"/>
      <c r="G52" s="163" t="s">
        <v>436</v>
      </c>
      <c r="H52" s="163" t="s">
        <v>436</v>
      </c>
      <c r="I52" s="175"/>
      <c r="J52" s="154"/>
      <c r="K52" s="154"/>
    </row>
    <row r="53" spans="1:11" ht="31.5" x14ac:dyDescent="0.25">
      <c r="A53" s="157" t="s">
        <v>530</v>
      </c>
      <c r="B53" s="166" t="s">
        <v>529</v>
      </c>
      <c r="C53" s="191">
        <v>45361</v>
      </c>
      <c r="D53" s="191">
        <v>45362</v>
      </c>
      <c r="E53" s="174">
        <v>43343</v>
      </c>
      <c r="F53" s="174">
        <v>43343</v>
      </c>
      <c r="G53" s="191">
        <v>45606</v>
      </c>
      <c r="H53" s="191">
        <v>45637</v>
      </c>
      <c r="I53" s="175"/>
      <c r="J53" s="154"/>
      <c r="K53" s="154"/>
    </row>
    <row r="54" spans="1:11" ht="31.5" x14ac:dyDescent="0.25">
      <c r="A54" s="157" t="s">
        <v>534</v>
      </c>
      <c r="B54" s="166" t="s">
        <v>184</v>
      </c>
      <c r="C54" s="191">
        <v>45361</v>
      </c>
      <c r="D54" s="191">
        <v>45362</v>
      </c>
      <c r="E54" s="174">
        <v>43343</v>
      </c>
      <c r="F54" s="174">
        <v>43343</v>
      </c>
      <c r="G54" s="191">
        <v>45606</v>
      </c>
      <c r="H54" s="191">
        <v>45637</v>
      </c>
      <c r="I54" s="175"/>
      <c r="J54" s="154"/>
      <c r="K54" s="154"/>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sergenhappy@mail.ru</cp:lastModifiedBy>
  <cp:lastPrinted>2015-11-30T14:18:17Z</cp:lastPrinted>
  <dcterms:created xsi:type="dcterms:W3CDTF">2015-08-16T15:31:05Z</dcterms:created>
  <dcterms:modified xsi:type="dcterms:W3CDTF">2024-10-17T15:01:06Z</dcterms:modified>
</cp:coreProperties>
</file>