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0930_1153926028850_39\Паспорта\"/>
    </mc:Choice>
  </mc:AlternateContent>
  <xr:revisionPtr revIDLastSave="0" documentId="13_ncr:1_{9F39ECA8-237B-4154-8EDD-4CDF6A49F184}" xr6:coauthVersionLast="47" xr6:coauthVersionMax="47"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ПС'!$A$2:$T$63</definedName>
    <definedName name="_xlnm.Print_Area" localSheetId="3">'3.2 паспорт Техсостояние ЛЭП'!$A$1:$AA$91</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H24" i="29" l="1"/>
  <c r="G27" i="29"/>
  <c r="C24" i="29"/>
  <c r="E48" i="29"/>
  <c r="E49" i="29"/>
  <c r="E50" i="29"/>
  <c r="E51" i="29"/>
  <c r="E52" i="29"/>
  <c r="E53" i="29"/>
  <c r="E54" i="29"/>
  <c r="E55" i="29"/>
  <c r="E56" i="29"/>
  <c r="E57" i="29"/>
  <c r="E58" i="29"/>
  <c r="E59" i="29"/>
  <c r="E60" i="29"/>
  <c r="E61" i="29"/>
  <c r="E62" i="29"/>
  <c r="E63" i="29"/>
  <c r="E64" i="29"/>
  <c r="F28" i="29"/>
  <c r="F29" i="29"/>
  <c r="F30"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8" i="29"/>
  <c r="F59" i="29"/>
  <c r="F60" i="29"/>
  <c r="F61" i="29"/>
  <c r="F62" i="29"/>
  <c r="F63" i="29"/>
  <c r="F64" i="29"/>
  <c r="C28" i="29"/>
  <c r="C29" i="29"/>
  <c r="C30" i="29"/>
  <c r="C31" i="29"/>
  <c r="C32" i="29"/>
  <c r="C33" i="29"/>
  <c r="C34" i="29"/>
  <c r="C35" i="29"/>
  <c r="C36" i="29"/>
  <c r="C37" i="29"/>
  <c r="C38" i="29"/>
  <c r="C39" i="29"/>
  <c r="C40" i="29"/>
  <c r="C41" i="29"/>
  <c r="C42" i="29"/>
  <c r="C43" i="29"/>
  <c r="C44" i="29"/>
  <c r="C45" i="29"/>
  <c r="C46" i="29"/>
  <c r="C47" i="29"/>
  <c r="C48" i="29"/>
  <c r="C49" i="29"/>
  <c r="C50" i="29"/>
  <c r="C51" i="29"/>
  <c r="C52" i="29"/>
  <c r="C53" i="29"/>
  <c r="C54" i="29"/>
  <c r="C55" i="29"/>
  <c r="C56" i="29"/>
  <c r="C57" i="29"/>
  <c r="C58" i="29"/>
  <c r="C59" i="29"/>
  <c r="C60" i="29"/>
  <c r="C61" i="29"/>
  <c r="C62" i="29"/>
  <c r="C63" i="29"/>
  <c r="C64" i="29"/>
  <c r="A59" i="14"/>
  <c r="A57" i="14"/>
  <c r="A55" i="14"/>
  <c r="A27" i="14"/>
  <c r="A28" i="14" s="1"/>
  <c r="A29" i="14" s="1"/>
  <c r="A30" i="14" s="1"/>
  <c r="A31" i="14" s="1"/>
  <c r="A32" i="14" s="1"/>
  <c r="A33" i="14" s="1"/>
  <c r="A34" i="14" s="1"/>
  <c r="A35" i="14" s="1"/>
  <c r="A36" i="14" s="1"/>
  <c r="A37" i="14" s="1"/>
  <c r="A38" i="14" s="1"/>
  <c r="A39" i="14" s="1"/>
  <c r="A40" i="14" s="1"/>
  <c r="A41" i="14" s="1"/>
  <c r="A42" i="14" s="1"/>
  <c r="A43" i="14" s="1"/>
  <c r="A44" i="14" s="1"/>
  <c r="A45" i="14" s="1"/>
  <c r="A48" i="14" s="1"/>
  <c r="A50" i="14" s="1"/>
  <c r="A51" i="14" s="1"/>
  <c r="A53" i="14" s="1"/>
  <c r="A26" i="14"/>
  <c r="G41" i="29"/>
  <c r="R76" i="14"/>
  <c r="O29" i="13"/>
  <c r="G24" i="29" l="1"/>
  <c r="G55" i="29"/>
  <c r="G57" i="29"/>
  <c r="G54" i="29"/>
  <c r="G52" i="29"/>
  <c r="G46" i="29"/>
  <c r="G47" i="29"/>
  <c r="G48" i="29"/>
  <c r="G49" i="29"/>
  <c r="G45" i="29"/>
  <c r="G32" i="29"/>
  <c r="A60" i="14" l="1"/>
  <c r="A61" i="14" s="1"/>
  <c r="A62" i="14" s="1"/>
  <c r="A63" i="14" s="1"/>
  <c r="A64" i="14" s="1"/>
  <c r="A65" i="14" s="1"/>
  <c r="A66" i="14" s="1"/>
  <c r="A67" i="14" s="1"/>
  <c r="A68" i="14" s="1"/>
  <c r="A69" i="14" s="1"/>
  <c r="A70" i="14" s="1"/>
  <c r="A71" i="14" s="1"/>
  <c r="A72" i="14" s="1"/>
  <c r="A73" i="14" s="1"/>
  <c r="A74" i="14" s="1"/>
  <c r="A75" i="14" s="1"/>
  <c r="G56" i="29"/>
  <c r="C50" i="7"/>
  <c r="F58" i="32" l="1"/>
  <c r="C81" i="32" l="1"/>
  <c r="D81" i="32"/>
  <c r="E81" i="32"/>
  <c r="F81" i="32"/>
  <c r="B81" i="32"/>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3" i="29"/>
  <c r="AB54" i="29"/>
  <c r="AB55" i="29"/>
  <c r="AB56" i="29"/>
  <c r="AB57" i="29"/>
  <c r="AB58" i="29"/>
  <c r="AB59" i="29"/>
  <c r="AB60" i="29"/>
  <c r="AB61" i="29"/>
  <c r="AB62" i="29"/>
  <c r="AB63" i="29"/>
  <c r="AB64" i="29"/>
  <c r="E25" i="29"/>
  <c r="F25" i="29" s="1"/>
  <c r="E26" i="29"/>
  <c r="F26" i="29" s="1"/>
  <c r="E28" i="29"/>
  <c r="E29" i="29"/>
  <c r="E31" i="29"/>
  <c r="E32" i="29"/>
  <c r="E34" i="29"/>
  <c r="E35" i="29"/>
  <c r="E36" i="29"/>
  <c r="E37" i="29"/>
  <c r="E38" i="29"/>
  <c r="E39" i="29"/>
  <c r="E40" i="29"/>
  <c r="E41" i="29"/>
  <c r="E42" i="29"/>
  <c r="E43" i="29"/>
  <c r="E44" i="29"/>
  <c r="E45" i="29"/>
  <c r="E46" i="29"/>
  <c r="E47" i="29"/>
  <c r="D52" i="29"/>
  <c r="H52" i="29"/>
  <c r="AB52" i="29" s="1"/>
  <c r="AB24" i="29"/>
  <c r="E27" i="29"/>
  <c r="F27" i="29" s="1"/>
  <c r="E24" i="29" l="1"/>
  <c r="F24" i="29" s="1"/>
  <c r="C51" i="7" l="1"/>
  <c r="E33" i="29"/>
  <c r="E30" i="29" l="1"/>
  <c r="B24" i="32"/>
  <c r="G67" i="32" s="1"/>
  <c r="D59" i="32"/>
  <c r="C58" i="32"/>
  <c r="C42" i="7"/>
  <c r="B27" i="26"/>
  <c r="A5" i="32"/>
  <c r="S61" i="32"/>
  <c r="B34" i="32" l="1"/>
  <c r="L62" i="32" s="1"/>
  <c r="A15" i="32"/>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C59" i="32"/>
  <c r="B59" i="32"/>
  <c r="AE58" i="32"/>
  <c r="AE80" i="32" s="1"/>
  <c r="AD58" i="32"/>
  <c r="AD80" i="32" s="1"/>
  <c r="AC58" i="32"/>
  <c r="AC80" i="32" s="1"/>
  <c r="AB58" i="32"/>
  <c r="AB80" i="32" s="1"/>
  <c r="AA58" i="32"/>
  <c r="AA80" i="32" s="1"/>
  <c r="Z58" i="32"/>
  <c r="Z80" i="32" s="1"/>
  <c r="Y58" i="32"/>
  <c r="X58" i="32"/>
  <c r="X80" i="32" s="1"/>
  <c r="W58" i="32"/>
  <c r="W80" i="32" s="1"/>
  <c r="V58" i="32"/>
  <c r="V80" i="32" s="1"/>
  <c r="U58" i="32"/>
  <c r="T58" i="32"/>
  <c r="T80" i="32" s="1"/>
  <c r="S58" i="32"/>
  <c r="S80" i="32" s="1"/>
  <c r="R58" i="32"/>
  <c r="R80" i="32" s="1"/>
  <c r="Q58" i="32"/>
  <c r="Q80" i="32" s="1"/>
  <c r="P58" i="32"/>
  <c r="P80" i="32" s="1"/>
  <c r="O58" i="32"/>
  <c r="O80" i="32" s="1"/>
  <c r="N58" i="32"/>
  <c r="N80" i="32" s="1"/>
  <c r="M58" i="32"/>
  <c r="M80" i="32" s="1"/>
  <c r="L58" i="32"/>
  <c r="L80" i="32" s="1"/>
  <c r="K58" i="32"/>
  <c r="K80" i="32" s="1"/>
  <c r="J58" i="32"/>
  <c r="J80" i="32" s="1"/>
  <c r="I58" i="32"/>
  <c r="H58" i="32"/>
  <c r="H80" i="32" s="1"/>
  <c r="G58" i="32"/>
  <c r="G80" i="32" s="1"/>
  <c r="F80" i="32"/>
  <c r="E58" i="32"/>
  <c r="D58" i="32"/>
  <c r="D80" i="32" s="1"/>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F65" i="32" l="1"/>
  <c r="S62" i="32"/>
  <c r="B28" i="32"/>
  <c r="I60" i="32" s="1"/>
  <c r="B58" i="32"/>
  <c r="C66" i="32"/>
  <c r="E80" i="32"/>
  <c r="U80" i="32"/>
  <c r="D66" i="32"/>
  <c r="D68" i="32" s="1"/>
  <c r="I80" i="32"/>
  <c r="Y80" i="32"/>
  <c r="AA62" i="32" l="1"/>
  <c r="B80" i="32"/>
  <c r="B66" i="32"/>
  <c r="B68" i="32" s="1"/>
  <c r="B70" i="32" s="1"/>
  <c r="B75" i="32" l="1"/>
  <c r="B71" i="32"/>
  <c r="B72" i="32" s="1"/>
  <c r="B78" i="32" l="1"/>
  <c r="B23" i="26" l="1"/>
  <c r="B25" i="26"/>
  <c r="B79" i="32" l="1"/>
  <c r="B83" i="32" s="1"/>
  <c r="B88" i="32" s="1"/>
  <c r="D76" i="32"/>
  <c r="C76" i="32"/>
  <c r="C68" i="32"/>
  <c r="C79" i="32" l="1"/>
  <c r="D79" i="32" s="1"/>
  <c r="E79" i="32" s="1"/>
  <c r="F79" i="32" s="1"/>
  <c r="B84" i="32"/>
  <c r="B89" i="32" s="1"/>
  <c r="D70" i="32"/>
  <c r="D71" i="32" s="1"/>
  <c r="D72" i="32" s="1"/>
  <c r="E67" i="32"/>
  <c r="B86" i="32"/>
  <c r="B87" i="32" s="1"/>
  <c r="B90" i="32" s="1"/>
  <c r="C75" i="32"/>
  <c r="C70" i="32"/>
  <c r="C71" i="32" s="1"/>
  <c r="E76" i="32" l="1"/>
  <c r="E59" i="32"/>
  <c r="E66" i="32" s="1"/>
  <c r="E68" i="32" s="1"/>
  <c r="E70" i="32" s="1"/>
  <c r="E71" i="32" s="1"/>
  <c r="F76" i="32"/>
  <c r="D75" i="32"/>
  <c r="C72" i="32"/>
  <c r="C78" i="32"/>
  <c r="D78" i="32" s="1"/>
  <c r="I24" i="29"/>
  <c r="F59" i="32" l="1"/>
  <c r="F66" i="32" s="1"/>
  <c r="F68" i="32" s="1"/>
  <c r="F75" i="32" s="1"/>
  <c r="G76" i="32"/>
  <c r="E75" i="32"/>
  <c r="D83" i="32"/>
  <c r="D86" i="32" s="1"/>
  <c r="E78" i="32"/>
  <c r="C83" i="32"/>
  <c r="E72" i="32"/>
  <c r="G26" i="5"/>
  <c r="D26" i="5"/>
  <c r="H67" i="32" l="1"/>
  <c r="H65" i="32" s="1"/>
  <c r="H59" i="32" s="1"/>
  <c r="H66" i="32" s="1"/>
  <c r="H68" i="32" s="1"/>
  <c r="G65" i="32"/>
  <c r="G59" i="32" s="1"/>
  <c r="G66" i="32" s="1"/>
  <c r="G68" i="32" s="1"/>
  <c r="G70" i="32" s="1"/>
  <c r="F70" i="32"/>
  <c r="F71" i="32" s="1"/>
  <c r="F78" i="32" s="1"/>
  <c r="F83" i="32" s="1"/>
  <c r="E83" i="32"/>
  <c r="E86" i="32" s="1"/>
  <c r="D84" i="32"/>
  <c r="C88" i="32"/>
  <c r="C84" i="32"/>
  <c r="C89" i="32" s="1"/>
  <c r="D88" i="32"/>
  <c r="C86" i="32"/>
  <c r="D87" i="32" s="1"/>
  <c r="G79" i="32"/>
  <c r="H76" i="32" l="1"/>
  <c r="I67" i="32"/>
  <c r="I65" i="32" s="1"/>
  <c r="G75" i="32"/>
  <c r="E88" i="32"/>
  <c r="E84" i="32"/>
  <c r="E89" i="32" s="1"/>
  <c r="F72" i="32"/>
  <c r="I59" i="32"/>
  <c r="I66" i="32" s="1"/>
  <c r="I68" i="32" s="1"/>
  <c r="F88" i="32"/>
  <c r="F84" i="32"/>
  <c r="F89" i="32" s="1"/>
  <c r="C87" i="32"/>
  <c r="C90" i="32" s="1"/>
  <c r="F86" i="32"/>
  <c r="F87" i="32" s="1"/>
  <c r="D89" i="32"/>
  <c r="E87" i="32"/>
  <c r="E90" i="32" s="1"/>
  <c r="H79" i="32"/>
  <c r="I79" i="32" s="1"/>
  <c r="H70" i="32"/>
  <c r="H75" i="32"/>
  <c r="G71" i="32"/>
  <c r="G72" i="32" s="1"/>
  <c r="J67" i="32"/>
  <c r="J65" i="32" s="1"/>
  <c r="I76" i="32"/>
  <c r="J59" i="32" l="1"/>
  <c r="J66" i="32" s="1"/>
  <c r="J68" i="32" s="1"/>
  <c r="D90" i="32"/>
  <c r="F90" i="32"/>
  <c r="H71" i="32"/>
  <c r="H72" i="32" s="1"/>
  <c r="I70" i="32"/>
  <c r="I75" i="32"/>
  <c r="G78" i="32"/>
  <c r="G83" i="32" s="1"/>
  <c r="J76" i="32"/>
  <c r="K67" i="32"/>
  <c r="K65" i="32" s="1"/>
  <c r="J79" i="32"/>
  <c r="K79" i="32" s="1"/>
  <c r="K59" i="32" l="1"/>
  <c r="K66" i="32" s="1"/>
  <c r="K68" i="32" s="1"/>
  <c r="J75" i="32"/>
  <c r="J70" i="32"/>
  <c r="J71" i="32" s="1"/>
  <c r="J72" i="32" s="1"/>
  <c r="L79" i="32"/>
  <c r="M79" i="32" s="1"/>
  <c r="N79" i="32" s="1"/>
  <c r="O79" i="32" s="1"/>
  <c r="K76" i="32"/>
  <c r="L67" i="32"/>
  <c r="L65" i="32" s="1"/>
  <c r="L59" i="32" s="1"/>
  <c r="H78" i="32"/>
  <c r="H83" i="32" s="1"/>
  <c r="I71" i="32"/>
  <c r="I72" i="32" s="1"/>
  <c r="G86" i="32"/>
  <c r="G88" i="32"/>
  <c r="G84" i="32"/>
  <c r="G89" i="32" s="1"/>
  <c r="L66" i="32" l="1"/>
  <c r="L68" i="32" s="1"/>
  <c r="H86" i="32"/>
  <c r="H87" i="32" s="1"/>
  <c r="G87" i="32"/>
  <c r="G90" i="32" s="1"/>
  <c r="L76" i="32"/>
  <c r="M67" i="32"/>
  <c r="M65" i="32" s="1"/>
  <c r="H88" i="32"/>
  <c r="H84" i="32"/>
  <c r="H89" i="32" s="1"/>
  <c r="K70" i="32"/>
  <c r="K71" i="32" s="1"/>
  <c r="K75" i="32"/>
  <c r="I78" i="32"/>
  <c r="I83" i="32" s="1"/>
  <c r="P79" i="32"/>
  <c r="Q79" i="32" s="1"/>
  <c r="R79" i="32" s="1"/>
  <c r="S79" i="32" s="1"/>
  <c r="T79" i="32" s="1"/>
  <c r="U79" i="32" s="1"/>
  <c r="V79" i="32" s="1"/>
  <c r="W79" i="32" s="1"/>
  <c r="X79" i="32" s="1"/>
  <c r="Y79" i="32" s="1"/>
  <c r="Z79" i="32" s="1"/>
  <c r="AA79" i="32" s="1"/>
  <c r="AB79" i="32" s="1"/>
  <c r="AC79" i="32" s="1"/>
  <c r="AD79" i="32" s="1"/>
  <c r="AE79" i="32" s="1"/>
  <c r="M59" i="32" l="1"/>
  <c r="M66" i="32" s="1"/>
  <c r="M68" i="32" s="1"/>
  <c r="H90" i="32"/>
  <c r="L75" i="32"/>
  <c r="L70" i="32"/>
  <c r="L71" i="32" s="1"/>
  <c r="I86" i="32"/>
  <c r="I88" i="32"/>
  <c r="I84" i="32"/>
  <c r="I89" i="32" s="1"/>
  <c r="K72" i="32"/>
  <c r="N67" i="32"/>
  <c r="M76" i="32"/>
  <c r="J78" i="32"/>
  <c r="J83" i="32" s="1"/>
  <c r="N65" i="32" l="1"/>
  <c r="N59" i="32" s="1"/>
  <c r="N66" i="32" s="1"/>
  <c r="N68" i="32" s="1"/>
  <c r="O67" i="32"/>
  <c r="N76" i="32"/>
  <c r="K78" i="32"/>
  <c r="K83" i="32" s="1"/>
  <c r="K86" i="32" s="1"/>
  <c r="I87" i="32"/>
  <c r="I90" i="32" s="1"/>
  <c r="L72" i="32"/>
  <c r="J88" i="32"/>
  <c r="M70" i="32"/>
  <c r="M71" i="32" s="1"/>
  <c r="M75" i="32"/>
  <c r="J86" i="32"/>
  <c r="J87" i="32" s="1"/>
  <c r="J84" i="32"/>
  <c r="J89" i="32" s="1"/>
  <c r="O65" i="32" l="1"/>
  <c r="O59" i="32" s="1"/>
  <c r="O66" i="32" s="1"/>
  <c r="K88" i="32"/>
  <c r="J90" i="32"/>
  <c r="L78" i="32"/>
  <c r="L83" i="32" s="1"/>
  <c r="L86" i="32" s="1"/>
  <c r="K84" i="32"/>
  <c r="K89" i="32" s="1"/>
  <c r="K87" i="32"/>
  <c r="K90" i="32" s="1"/>
  <c r="O76" i="32"/>
  <c r="P67" i="32"/>
  <c r="O68" i="32"/>
  <c r="N75" i="32"/>
  <c r="N70" i="32"/>
  <c r="N71" i="32" s="1"/>
  <c r="M72" i="32"/>
  <c r="P65" i="32" l="1"/>
  <c r="P59" i="32" s="1"/>
  <c r="P66" i="32" s="1"/>
  <c r="P68" i="32" s="1"/>
  <c r="L88" i="32"/>
  <c r="L87" i="32"/>
  <c r="G29" i="32" s="1"/>
  <c r="L84" i="32"/>
  <c r="L89" i="32" s="1"/>
  <c r="M78" i="32"/>
  <c r="M83" i="32" s="1"/>
  <c r="M86" i="32" s="1"/>
  <c r="M87" i="32" s="1"/>
  <c r="O75" i="32"/>
  <c r="O70" i="32"/>
  <c r="N72" i="32"/>
  <c r="Q67" i="32"/>
  <c r="P76" i="32"/>
  <c r="Q65" i="32" l="1"/>
  <c r="Q59" i="32" s="1"/>
  <c r="Q66" i="32" s="1"/>
  <c r="Q68" i="32" s="1"/>
  <c r="M90" i="32"/>
  <c r="L90" i="32"/>
  <c r="M88" i="32"/>
  <c r="M84" i="32"/>
  <c r="M89" i="32" s="1"/>
  <c r="N78" i="32"/>
  <c r="N83" i="32" s="1"/>
  <c r="N84" i="32" s="1"/>
  <c r="P75" i="32"/>
  <c r="P70" i="32"/>
  <c r="Q76" i="32"/>
  <c r="R67" i="32"/>
  <c r="O71" i="32"/>
  <c r="O72" i="32" s="1"/>
  <c r="R65" i="32" l="1"/>
  <c r="R59" i="32" s="1"/>
  <c r="R66" i="32" s="1"/>
  <c r="R68" i="32" s="1"/>
  <c r="N88" i="32"/>
  <c r="N89" i="32"/>
  <c r="N86" i="32"/>
  <c r="N87" i="32" s="1"/>
  <c r="N90" i="32" s="1"/>
  <c r="O78" i="32"/>
  <c r="O83" i="32" s="1"/>
  <c r="P71" i="32"/>
  <c r="P72" i="32" s="1"/>
  <c r="Q70" i="32"/>
  <c r="Q71" i="32" s="1"/>
  <c r="Q72" i="32" s="1"/>
  <c r="Q75" i="32"/>
  <c r="S67" i="32"/>
  <c r="R76" i="32"/>
  <c r="S65" i="32" l="1"/>
  <c r="S59" i="32" s="1"/>
  <c r="S66" i="32" s="1"/>
  <c r="P78" i="32"/>
  <c r="R70" i="32"/>
  <c r="R75" i="32"/>
  <c r="O86" i="32"/>
  <c r="O88" i="32"/>
  <c r="O84" i="32"/>
  <c r="O89" i="32" s="1"/>
  <c r="S76" i="32"/>
  <c r="S68" i="32"/>
  <c r="T67" i="32"/>
  <c r="T65" i="32" l="1"/>
  <c r="T59" i="32" s="1"/>
  <c r="T66" i="32" s="1"/>
  <c r="T68" i="32" s="1"/>
  <c r="S70" i="32"/>
  <c r="S71" i="32" s="1"/>
  <c r="S72" i="32" s="1"/>
  <c r="S75" i="32"/>
  <c r="R71" i="32"/>
  <c r="R72" i="32" s="1"/>
  <c r="T76" i="32"/>
  <c r="U67" i="32"/>
  <c r="O87" i="32"/>
  <c r="P83" i="32"/>
  <c r="Q78" i="32"/>
  <c r="Q83" i="32" s="1"/>
  <c r="U65" i="32" l="1"/>
  <c r="U59" i="32" s="1"/>
  <c r="U66" i="32" s="1"/>
  <c r="U68" i="32" s="1"/>
  <c r="Q84" i="32"/>
  <c r="Q86" i="32"/>
  <c r="V67" i="32"/>
  <c r="U76" i="32"/>
  <c r="R78" i="32"/>
  <c r="R83" i="32" s="1"/>
  <c r="R86" i="32" s="1"/>
  <c r="P86" i="32"/>
  <c r="P84" i="32"/>
  <c r="P89" i="32" s="1"/>
  <c r="Q88" i="32"/>
  <c r="P88" i="32"/>
  <c r="O90" i="32"/>
  <c r="T70" i="32"/>
  <c r="T75" i="32"/>
  <c r="V65" i="32" l="1"/>
  <c r="V59" i="32" s="1"/>
  <c r="V66" i="32" s="1"/>
  <c r="V68" i="32" s="1"/>
  <c r="V76" i="32"/>
  <c r="W67" i="32"/>
  <c r="P87" i="32"/>
  <c r="P90" i="32" s="1"/>
  <c r="R87" i="32"/>
  <c r="Q87" i="32"/>
  <c r="T71" i="32"/>
  <c r="T72" i="32" s="1"/>
  <c r="R84" i="32"/>
  <c r="R89" i="32" s="1"/>
  <c r="R88" i="32"/>
  <c r="S78" i="32"/>
  <c r="S83" i="32" s="1"/>
  <c r="U75" i="32"/>
  <c r="U70" i="32"/>
  <c r="Q89" i="32"/>
  <c r="W65" i="32" l="1"/>
  <c r="W59" i="32" s="1"/>
  <c r="W66" i="32" s="1"/>
  <c r="W68" i="32" s="1"/>
  <c r="Q90" i="32"/>
  <c r="W76" i="32"/>
  <c r="X67" i="32"/>
  <c r="S86" i="32"/>
  <c r="S88" i="32"/>
  <c r="V70" i="32"/>
  <c r="V75" i="32"/>
  <c r="U71" i="32"/>
  <c r="U72" i="32" s="1"/>
  <c r="R90" i="32"/>
  <c r="S84" i="32"/>
  <c r="S89" i="32" s="1"/>
  <c r="T78" i="32"/>
  <c r="T83" i="32" s="1"/>
  <c r="T84" i="32" s="1"/>
  <c r="X65" i="32" l="1"/>
  <c r="X59" i="32" s="1"/>
  <c r="X66" i="32" s="1"/>
  <c r="X68" i="32" s="1"/>
  <c r="T89" i="32"/>
  <c r="W75" i="32"/>
  <c r="W70" i="32"/>
  <c r="U78" i="32"/>
  <c r="U83" i="32" s="1"/>
  <c r="V71" i="32"/>
  <c r="V72" i="32" s="1"/>
  <c r="T86" i="32"/>
  <c r="T88" i="32"/>
  <c r="S87" i="32"/>
  <c r="S90" i="32" s="1"/>
  <c r="X76" i="32"/>
  <c r="Y67" i="32"/>
  <c r="Y65" i="32" l="1"/>
  <c r="Y59" i="32" s="1"/>
  <c r="Y66" i="32" s="1"/>
  <c r="Y68" i="32" s="1"/>
  <c r="V78" i="32"/>
  <c r="V83" i="32" s="1"/>
  <c r="X70" i="32"/>
  <c r="X75" i="32"/>
  <c r="W71" i="32"/>
  <c r="W72" i="32" s="1"/>
  <c r="Y76" i="32"/>
  <c r="Z67" i="32"/>
  <c r="Z65" i="32" s="1"/>
  <c r="Z59" i="32" s="1"/>
  <c r="Z66" i="32" s="1"/>
  <c r="T87" i="32"/>
  <c r="T90" i="32" s="1"/>
  <c r="U88" i="32"/>
  <c r="U86" i="32"/>
  <c r="U84" i="32"/>
  <c r="U89" i="32" s="1"/>
  <c r="X71" i="32" l="1"/>
  <c r="X72" i="32" s="1"/>
  <c r="V86" i="32"/>
  <c r="V87" i="32" s="1"/>
  <c r="V84" i="32"/>
  <c r="V89" i="32" s="1"/>
  <c r="V88" i="32"/>
  <c r="W78" i="32"/>
  <c r="W83" i="32" s="1"/>
  <c r="Z76" i="32"/>
  <c r="Z68" i="32"/>
  <c r="AA67" i="32"/>
  <c r="AA65" i="32" s="1"/>
  <c r="AA59" i="32" s="1"/>
  <c r="AA66" i="32" s="1"/>
  <c r="U87" i="32"/>
  <c r="U90" i="32" s="1"/>
  <c r="Y75" i="32"/>
  <c r="Y70" i="32"/>
  <c r="V90" i="32" l="1"/>
  <c r="W88" i="32"/>
  <c r="AA68" i="32"/>
  <c r="AB67" i="32"/>
  <c r="AB65" i="32" s="1"/>
  <c r="AB59" i="32" s="1"/>
  <c r="AB66" i="32" s="1"/>
  <c r="AA76" i="32"/>
  <c r="Y71" i="32"/>
  <c r="Y72" i="32" s="1"/>
  <c r="W86" i="32"/>
  <c r="W87" i="32" s="1"/>
  <c r="W90" i="32" s="1"/>
  <c r="W84" i="32"/>
  <c r="W89" i="32" s="1"/>
  <c r="X78" i="32"/>
  <c r="X83" i="32" s="1"/>
  <c r="Z75" i="32"/>
  <c r="Z70" i="32"/>
  <c r="X84" i="32" l="1"/>
  <c r="X89" i="32" s="1"/>
  <c r="X86" i="32"/>
  <c r="X87" i="32" s="1"/>
  <c r="X90" i="32" s="1"/>
  <c r="X88" i="32"/>
  <c r="Z71" i="32"/>
  <c r="AC67" i="32"/>
  <c r="AC65" i="32" s="1"/>
  <c r="AC59" i="32" s="1"/>
  <c r="AC66" i="32" s="1"/>
  <c r="AB68" i="32"/>
  <c r="AB76" i="32"/>
  <c r="Y78" i="32"/>
  <c r="Y83" i="32" s="1"/>
  <c r="AA70" i="32"/>
  <c r="AA75" i="32"/>
  <c r="C45" i="7"/>
  <c r="Y86" i="32" l="1"/>
  <c r="Y87" i="32" s="1"/>
  <c r="Y90" i="32" s="1"/>
  <c r="Y84" i="32"/>
  <c r="Y89" i="32" s="1"/>
  <c r="AB70" i="32"/>
  <c r="AB75" i="32"/>
  <c r="AC76" i="32"/>
  <c r="AC68" i="32"/>
  <c r="AD67" i="32"/>
  <c r="AD65" i="32" s="1"/>
  <c r="AD59" i="32" s="1"/>
  <c r="AD66" i="32" s="1"/>
  <c r="Y88" i="32"/>
  <c r="Z78" i="32"/>
  <c r="Z83" i="32" s="1"/>
  <c r="AA71" i="32"/>
  <c r="Z72" i="32"/>
  <c r="B133" i="26"/>
  <c r="AB71" i="32" l="1"/>
  <c r="AB72" i="32" s="1"/>
  <c r="AA78" i="32"/>
  <c r="AA83" i="32" s="1"/>
  <c r="Z84" i="32"/>
  <c r="Z89" i="32" s="1"/>
  <c r="Z86" i="32"/>
  <c r="Z87" i="32" s="1"/>
  <c r="Z90" i="32" s="1"/>
  <c r="Z88" i="32"/>
  <c r="AD68" i="32"/>
  <c r="AD76" i="32"/>
  <c r="AE67" i="32"/>
  <c r="AE65" i="32" s="1"/>
  <c r="AE59" i="32" s="1"/>
  <c r="AE66" i="32" s="1"/>
  <c r="AA72" i="32"/>
  <c r="AC75" i="32"/>
  <c r="AC70" i="32"/>
  <c r="L30" i="15"/>
  <c r="AB78" i="32" l="1"/>
  <c r="AB83" i="32" s="1"/>
  <c r="AB86" i="32" s="1"/>
  <c r="AA86" i="32"/>
  <c r="AA87" i="32" s="1"/>
  <c r="AA90" i="32" s="1"/>
  <c r="AA88" i="32"/>
  <c r="AA84" i="32"/>
  <c r="AA89" i="32" s="1"/>
  <c r="AC71" i="32"/>
  <c r="AE68" i="32"/>
  <c r="AE76" i="32"/>
  <c r="AD75" i="32"/>
  <c r="AD70" i="32"/>
  <c r="Y24" i="29"/>
  <c r="U24" i="29"/>
  <c r="Q24" i="29"/>
  <c r="M24" i="29"/>
  <c r="AB88" i="32" l="1"/>
  <c r="AB87" i="32"/>
  <c r="AB90" i="32" s="1"/>
  <c r="AB84" i="32"/>
  <c r="AB89" i="32" s="1"/>
  <c r="AC78" i="32"/>
  <c r="AC83" i="32" s="1"/>
  <c r="AC86" i="32" s="1"/>
  <c r="AC87" i="32" s="1"/>
  <c r="AC72" i="32"/>
  <c r="AD71" i="32"/>
  <c r="AE75" i="32"/>
  <c r="AE70" i="32"/>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C90" i="32" l="1"/>
  <c r="AD78" i="32"/>
  <c r="AD83" i="32" s="1"/>
  <c r="AD86" i="32" s="1"/>
  <c r="AD87" i="32" s="1"/>
  <c r="AD90" i="32" s="1"/>
  <c r="AC84" i="32"/>
  <c r="AC89" i="32" s="1"/>
  <c r="AC88" i="32"/>
  <c r="AE71" i="32"/>
  <c r="AD72" i="32"/>
  <c r="P57" i="15"/>
  <c r="P56" i="15"/>
  <c r="P55" i="15"/>
  <c r="P50" i="15"/>
  <c r="P49" i="15"/>
  <c r="P48" i="15"/>
  <c r="P47" i="15"/>
  <c r="P46" i="15"/>
  <c r="P44" i="15"/>
  <c r="P42" i="15"/>
  <c r="P41" i="15"/>
  <c r="P40" i="15"/>
  <c r="P39" i="15"/>
  <c r="P38" i="15"/>
  <c r="AE78" i="32" l="1"/>
  <c r="AE83" i="32" s="1"/>
  <c r="AE88" i="32" s="1"/>
  <c r="AD88" i="32"/>
  <c r="AD84" i="32"/>
  <c r="AD89" i="32" s="1"/>
  <c r="AE72" i="32"/>
  <c r="AE84" i="32" l="1"/>
  <c r="AE89" i="32" s="1"/>
  <c r="G27" i="32" s="1"/>
  <c r="AE86" i="32"/>
  <c r="AE87" i="32" s="1"/>
  <c r="AE90" i="32" s="1"/>
  <c r="G28" i="32" s="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C30" i="15"/>
  <c r="P53" i="15"/>
  <c r="L24" i="15" l="1"/>
  <c r="AB24" i="15" s="1"/>
  <c r="C48" i="7" s="1"/>
  <c r="E30" i="15"/>
  <c r="AB25" i="15"/>
  <c r="F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4" i="6" l="1"/>
  <c r="C23" i="6"/>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alcChain>
</file>

<file path=xl/sharedStrings.xml><?xml version="1.0" encoding="utf-8"?>
<sst xmlns="http://schemas.openxmlformats.org/spreadsheetml/2006/main" count="2697" uniqueCount="689">
  <si>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</si>
  <si>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</si>
  <si>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</si>
  <si>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</si>
  <si>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</si>
  <si>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</si>
  <si>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</si>
  <si>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</si>
  <si>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</si>
  <si>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</si>
  <si>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</si>
  <si>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</si>
  <si>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</si>
  <si>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</si>
  <si>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</si>
  <si>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</si>
  <si>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</si>
  <si>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</si>
  <si>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</si>
  <si>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</si>
  <si>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</si>
  <si>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</si>
  <si>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</si>
  <si>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</si>
  <si>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</si>
  <si>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</si>
  <si>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</si>
  <si>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</si>
  <si>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</si>
  <si>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</si>
  <si>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</si>
  <si>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</si>
  <si>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</si>
  <si>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</si>
  <si>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</si>
  <si>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</si>
  <si>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</si>
  <si>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</si>
  <si>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</si>
  <si>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</si>
  <si>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</si>
  <si>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</si>
  <si>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</si>
  <si>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</si>
  <si>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</si>
  <si>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</si>
  <si>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</si>
  <si>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</si>
  <si>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</si>
  <si>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</si>
  <si>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</si>
  <si>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</si>
  <si>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</si>
  <si>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</si>
  <si>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</si>
  <si>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</si>
  <si>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</si>
  <si>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</si>
  <si>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</si>
  <si>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</si>
  <si>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</si>
  <si>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</si>
  <si>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</si>
  <si>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</si>
  <si>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</si>
  <si>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</si>
  <si>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</si>
  <si>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</si>
  <si>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</si>
  <si>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</si>
  <si>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</si>
  <si>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</si>
  <si>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</si>
  <si>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</si>
  <si>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</si>
  <si>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</si>
  <si>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</si>
  <si>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</si>
  <si>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</si>
  <si>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</si>
  <si>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</si>
  <si>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</si>
  <si>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</si>
  <si>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</si>
  <si>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</si>
  <si>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</si>
  <si>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</si>
  <si>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</si>
  <si>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</si>
  <si>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</si>
  <si>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</si>
  <si>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</si>
  <si>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</si>
  <si>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</si>
  <si>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</si>
  <si>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</si>
  <si>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</si>
  <si>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</si>
  <si>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</si>
  <si>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</si>
  <si>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</si>
  <si>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</si>
  <si>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</si>
  <si>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</si>
  <si>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</si>
  <si>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</si>
  <si>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</si>
  <si>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</si>
  <si>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</si>
  <si>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</si>
  <si>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</si>
  <si>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</si>
  <si>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</si>
  <si>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</si>
  <si>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</si>
  <si>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</si>
  <si>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</si>
  <si>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</si>
  <si>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</si>
  <si>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</si>
  <si>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</si>
  <si>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</si>
  <si>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</si>
  <si>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</si>
  <si>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</si>
  <si>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</si>
  <si>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</si>
  <si>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</si>
  <si>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</si>
  <si>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</si>
  <si>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</si>
  <si>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</si>
  <si>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</si>
  <si>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</si>
  <si>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</si>
  <si>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</si>
  <si>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</si>
  <si>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</si>
  <si>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</si>
  <si>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</si>
  <si>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</si>
  <si>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</si>
  <si>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</si>
  <si>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</si>
  <si>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</si>
  <si>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</si>
  <si>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</si>
  <si>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</si>
  <si>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</si>
  <si>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</si>
  <si>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</si>
  <si>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</si>
  <si>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</si>
  <si>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</si>
  <si>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</si>
  <si>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</si>
  <si>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</si>
  <si>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</si>
  <si>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</si>
  <si>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</si>
  <si>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</si>
  <si>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</si>
  <si>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</si>
  <si>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</si>
  <si>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</si>
  <si>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</si>
  <si>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</si>
  <si>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</si>
  <si>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</si>
  <si>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</si>
  <si>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</si>
  <si>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</si>
  <si>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</si>
  <si>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</si>
  <si>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</si>
  <si>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</si>
  <si>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</si>
  <si>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</si>
  <si>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</si>
  <si>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</si>
  <si>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</si>
  <si>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</si>
  <si>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</si>
  <si>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</si>
  <si>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</si>
  <si>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</si>
  <si>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</si>
  <si>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</si>
  <si>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</si>
  <si>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</si>
  <si>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</si>
  <si>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</si>
  <si>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</si>
  <si>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</si>
  <si>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</si>
  <si>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</si>
  <si>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</si>
  <si>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</si>
  <si>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</si>
  <si>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</si>
  <si>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</si>
  <si>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</si>
  <si>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</si>
  <si>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</si>
  <si>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</si>
  <si>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</si>
  <si>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</si>
  <si>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</si>
  <si>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</si>
  <si>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</si>
  <si>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</si>
  <si>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</si>
  <si>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</si>
  <si>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</si>
  <si>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</si>
  <si>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</si>
  <si>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</si>
  <si>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</si>
  <si>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</si>
  <si>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</si>
  <si>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</si>
  <si>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</si>
  <si>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</si>
  <si>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</si>
  <si>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</si>
  <si>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</si>
  <si>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</si>
  <si>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</si>
  <si>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</si>
  <si>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</si>
  <si>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</si>
  <si>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</si>
  <si>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</si>
  <si>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</si>
  <si>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</si>
  <si>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</si>
  <si>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</si>
  <si>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</si>
  <si>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</si>
  <si>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</si>
  <si>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</si>
  <si>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</si>
  <si>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</si>
  <si>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</si>
  <si>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</si>
  <si>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</si>
  <si>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</si>
  <si>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</si>
  <si>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</si>
  <si>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</si>
  <si>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</si>
  <si>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</si>
  <si>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</si>
  <si>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</si>
  <si>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</si>
  <si>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</si>
  <si>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</si>
  <si>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</si>
  <si>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</si>
  <si>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</si>
  <si>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</si>
  <si>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</si>
  <si>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</si>
  <si>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</si>
  <si>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</si>
  <si>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</si>
  <si>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</si>
  <si>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</si>
  <si>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</si>
  <si>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</si>
  <si>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</si>
  <si>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</si>
  <si>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</si>
  <si>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</si>
  <si>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</si>
  <si>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</si>
  <si>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</si>
  <si>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</si>
  <si>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</si>
  <si>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</si>
  <si>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</si>
  <si>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</si>
  <si>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</si>
  <si>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</si>
  <si>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</si>
  <si>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</si>
  <si>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</si>
  <si>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</si>
  <si>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</si>
  <si>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</si>
  <si>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</si>
  <si>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</si>
  <si>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</si>
  <si>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</si>
  <si>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</si>
  <si>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</si>
  <si>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</si>
  <si>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</si>
  <si>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</si>
  <si>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</si>
  <si>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</si>
  <si>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</si>
  <si>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</si>
  <si>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</si>
  <si>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</si>
  <si>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</si>
  <si>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</si>
  <si>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</si>
  <si>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</si>
  <si>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</si>
  <si>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</si>
  <si>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</si>
  <si>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</si>
  <si>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</si>
  <si>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</si>
  <si>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</si>
  <si>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</si>
  <si>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</si>
  <si>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</si>
  <si>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</si>
  <si>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</si>
  <si>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</si>
  <si>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</si>
  <si>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</si>
  <si>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</si>
  <si>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</si>
  <si>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</si>
  <si>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</si>
  <si>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</si>
  <si>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</si>
  <si>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</si>
  <si>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</si>
  <si>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</si>
  <si>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</si>
  <si>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</si>
  <si>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</si>
  <si>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</si>
  <si>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</si>
  <si>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</si>
  <si>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</si>
  <si>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</si>
  <si>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</si>
  <si>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</si>
  <si>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</si>
  <si>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</si>
  <si>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</si>
  <si>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</si>
  <si>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</si>
  <si>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</si>
  <si>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</si>
  <si>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</si>
  <si>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</si>
  <si>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</si>
  <si>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</si>
  <si>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</si>
  <si>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</si>
  <si>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</si>
  <si>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</si>
  <si>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</si>
  <si>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</si>
  <si>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</si>
  <si>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</si>
  <si>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</si>
  <si>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</si>
  <si>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</si>
  <si>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</si>
  <si>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</si>
  <si>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</si>
  <si>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</si>
  <si>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</si>
  <si>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</si>
  <si>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</si>
  <si>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</si>
  <si>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</si>
  <si>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</si>
  <si>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</si>
  <si>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</si>
  <si>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</si>
  <si>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</si>
  <si>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</si>
  <si>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</si>
  <si>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</si>
  <si>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</si>
  <si>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</si>
  <si>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</si>
  <si>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</si>
  <si>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</si>
  <si>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</si>
  <si>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</si>
  <si>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</si>
  <si>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</si>
  <si>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</si>
  <si>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</si>
  <si>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</si>
  <si>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</si>
  <si>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</si>
  <si>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</si>
  <si>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</si>
  <si>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</si>
  <si>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</si>
  <si>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</si>
  <si>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</si>
  <si>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</si>
  <si>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</si>
  <si>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</si>
  <si>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</si>
  <si>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</si>
  <si>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</si>
  <si>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</si>
  <si>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</si>
  <si>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</si>
  <si>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</si>
  <si>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</si>
  <si>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</si>
  <si>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</si>
  <si>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</si>
  <si>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</si>
  <si>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</si>
  <si>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</si>
  <si>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</si>
  <si>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</si>
  <si>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</si>
  <si>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</si>
  <si>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</si>
  <si>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</si>
  <si>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</si>
  <si>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</si>
  <si>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</si>
  <si>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</si>
  <si>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</si>
  <si>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</si>
  <si>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</si>
  <si>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</si>
  <si>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</si>
  <si>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</si>
  <si>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</si>
  <si>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</si>
  <si>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да</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</si>
  <si>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</si>
  <si>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</si>
  <si>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</si>
  <si>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</si>
  <si>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</si>
  <si>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</si>
  <si>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</si>
  <si>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</si>
  <si>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</si>
  <si>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</si>
  <si>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</si>
  <si>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</si>
  <si>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</si>
  <si>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</si>
  <si>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</si>
  <si>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</si>
  <si>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</si>
  <si>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</si>
  <si>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</si>
  <si>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</si>
  <si>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</si>
  <si>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</si>
  <si>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</si>
  <si>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</si>
  <si>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</si>
  <si>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</si>
  <si>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</si>
  <si>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</si>
  <si>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</si>
  <si>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</si>
  <si>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</si>
  <si>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</si>
  <si>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</si>
  <si>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</si>
  <si>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</si>
  <si>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</si>
  <si>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</si>
  <si>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</si>
  <si>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</si>
  <si>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</si>
  <si>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</si>
  <si>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</si>
  <si>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</si>
  <si>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</si>
  <si>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</si>
  <si>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</si>
  <si>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</si>
  <si>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</si>
  <si>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</si>
  <si>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</si>
  <si>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</si>
  <si>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</si>
  <si>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</si>
  <si>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</si>
  <si>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</si>
  <si>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</si>
  <si>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</si>
  <si>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</si>
  <si>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</si>
  <si>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</si>
  <si>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</si>
  <si>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</si>
  <si>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</si>
  <si>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</si>
  <si>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</si>
  <si>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</si>
  <si>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</si>
  <si>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</si>
  <si>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</si>
  <si>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</si>
  <si>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</si>
  <si>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</si>
  <si>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</si>
  <si>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</si>
  <si>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</si>
  <si>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</si>
  <si>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</si>
  <si>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</si>
  <si>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</si>
  <si>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</si>
  <si>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</si>
  <si>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</si>
  <si>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</si>
  <si>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</si>
  <si>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</si>
  <si>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</si>
  <si>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</si>
  <si>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</si>
  <si>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</si>
  <si>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</si>
  <si>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</si>
  <si>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</si>
  <si>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</si>
  <si>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</si>
  <si>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</si>
  <si>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</si>
  <si>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</si>
  <si>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</si>
  <si>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</si>
  <si>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</si>
  <si>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</si>
  <si>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</si>
  <si>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</si>
  <si>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</si>
  <si>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объект не относиться к ЕНЭС</t>
  </si>
  <si>
    <t>2018</t>
  </si>
  <si>
    <t>нет</t>
  </si>
  <si>
    <t>Возможно реализовать в установленный срок</t>
  </si>
  <si>
    <t>регионального</t>
  </si>
  <si>
    <r>
      <t>Другое</t>
    </r>
    <r>
      <rPr>
        <vertAlign val="superscript"/>
        <sz val="12"/>
        <rFont val="Times New Roman"/>
        <family val="1"/>
        <charset val="204"/>
      </rPr>
      <t>3)</t>
    </r>
    <r>
      <rPr>
        <sz val="12"/>
        <rFont val="Times New Roman"/>
        <family val="1"/>
        <charset val="204"/>
      </rPr>
      <t>, шт.</t>
    </r>
  </si>
  <si>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</si>
  <si>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</si>
  <si>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</si>
  <si>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</si>
  <si>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</si>
  <si>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</si>
  <si>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</si>
  <si>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8,34 млн.руб./МВА</t>
  </si>
  <si>
    <t>Прочие инвестиционные проекты</t>
  </si>
  <si>
    <t>Развитие электрической сети; Повышение качества оказываемых услуг в сфере электроэнергетики</t>
  </si>
  <si>
    <t>Т-1,Т-2</t>
  </si>
  <si>
    <t>увеличение объема услуг по передачи электроэнергии</t>
  </si>
  <si>
    <t>Увеличение объема услуг по передачи электрической энергии потребителям через сети ТСО.</t>
  </si>
  <si>
    <t>сетевой комплекс ООО "Татэнерго"</t>
  </si>
  <si>
    <t xml:space="preserve">Приобретение   электросетевого комплекса в составе : ПС 110/10 кВ "Университетская" (ЗРУ 110 кВ, ЗРУ 10 кВ, два трансформатора 110/10 кВ мощностью16 МВА),  2-х цепная ВЛ 110 кВ протяженностью 1,34 км.  КЛ 10 кВ  протяженностью 5,739 км,  ТП -01 10 кВ  мощностью 1260 кВт; ТП-02 мощностью 3200 кВт; ТП-03 мощностью 800 кВт; ТП-04 мощностью 1260 кВт; ТП-11 мощностью 2000 кВт ; РТП-2 мощностью 2000 кВт.  суммарная мощность силовых трансформаторов на подстанциях 10 кВ  10,52 МВА . </t>
  </si>
  <si>
    <t>Сметная стоимость проекта в ценах  2019 года с НДС, млн. руб.</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</si>
  <si>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</si>
  <si>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</si>
  <si>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</si>
  <si>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</si>
  <si>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</si>
  <si>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</si>
  <si>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</si>
  <si>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</si>
  <si>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</si>
  <si>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</si>
  <si>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</si>
  <si>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</si>
  <si>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</si>
  <si>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</si>
  <si>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10,52 МВт</t>
  </si>
  <si>
    <t>ТМ 15/0,4 кВ</t>
  </si>
  <si>
    <t>2,5 МВА</t>
  </si>
  <si>
    <t>договор купли№22062022 от 09.08.22</t>
  </si>
  <si>
    <t>O 24-35</t>
  </si>
  <si>
    <t xml:space="preserve"> по состоянию на 01.01.2024</t>
  </si>
  <si>
    <t>план</t>
  </si>
  <si>
    <t>Предложение по корректировке  утв. плана 2024</t>
  </si>
  <si>
    <t>Покупка объектов основных средств электросетевого хозяйства</t>
  </si>
  <si>
    <t>РТП-1  РД</t>
  </si>
  <si>
    <t xml:space="preserve"> Распределительная трансформаторная  подстанция общей  площадью  48,5 кв.м.</t>
  </si>
  <si>
    <t xml:space="preserve">DTTH 1000/10/0,4 кВ </t>
  </si>
  <si>
    <t>ТП-1010</t>
  </si>
  <si>
    <t>ТМГ-400 кВА, 10/0,4 кВ</t>
  </si>
  <si>
    <t xml:space="preserve"> МТП 06-20</t>
  </si>
  <si>
    <t>Т-1</t>
  </si>
  <si>
    <t xml:space="preserve">КТП 06-19 </t>
  </si>
  <si>
    <t xml:space="preserve">Комплектная  трансформаторная  подстанция  в бетонном корпусе 15/0,4  </t>
  </si>
  <si>
    <t>Мачтовая  трансформаторная  подстанция 15/0,4 кВ</t>
  </si>
  <si>
    <t xml:space="preserve">Комплектная  трансформаторная  подстанция в бетонном  корпусе </t>
  </si>
  <si>
    <t>XRUНАКXS 3(1х500+1х240)</t>
  </si>
  <si>
    <t>ПвБбШв-1 - 2 (4х240)</t>
  </si>
  <si>
    <t>КЛ</t>
  </si>
  <si>
    <t>XRUHAKXS  3(1 х 120)</t>
  </si>
  <si>
    <t>КЛ № 1-1010/1  10 кВ от РТП-1 РД до ТП-1010</t>
  </si>
  <si>
    <t xml:space="preserve"> КЛ № 1-1010/2  10 кВ от РТП-1 РД до ТП-1010</t>
  </si>
  <si>
    <t>NA2XS2Y 3(1 х 120)</t>
  </si>
  <si>
    <t>КЛ № 9 33-1010/1  10 кВ от РП-ХХХIII  до ТП-1010</t>
  </si>
  <si>
    <t>КЛ № 9 33-10102  10 кВ от РП-ХХХIII  до ТП-1010</t>
  </si>
  <si>
    <t>АВБбШв-1-4х50</t>
  </si>
  <si>
    <t>АВБбШв-1-4х70</t>
  </si>
  <si>
    <t>АВБбШв-1-4х120</t>
  </si>
  <si>
    <t>ASXSn 4х70</t>
  </si>
  <si>
    <t>ВЛ</t>
  </si>
  <si>
    <t>АВбБШв  4х70</t>
  </si>
  <si>
    <t xml:space="preserve"> ASXSn 4х50</t>
  </si>
  <si>
    <t>ВЛ-0,4  кВ Л-1 от ТП-17 15/0,4  кВ</t>
  </si>
  <si>
    <t>ВЛ-0,4  кВ Л-1от ТП-16 15/0,4  кВ</t>
  </si>
  <si>
    <t>ВЛ-0,4 кВ Л-2 от ТП-16 15/0,4  кВ</t>
  </si>
  <si>
    <t xml:space="preserve"> ASXSn 4х120</t>
  </si>
  <si>
    <t>ВЛ-0,4  кВ Л-3  от ТП-16 15/0,4  кВ</t>
  </si>
  <si>
    <t>АС 3х35</t>
  </si>
  <si>
    <t>ВЛ 15кВ 15-06 от опоры №85</t>
  </si>
  <si>
    <t>ВЛ 15 кB 15-06 от опоры № 75</t>
  </si>
  <si>
    <t>на железобетонных  опорах - 16 штук</t>
  </si>
  <si>
    <t>ВЛ 0,4кВ Л-1 от МТП 06-20 15/0,4  кВ</t>
  </si>
  <si>
    <t>СИП 4х95</t>
  </si>
  <si>
    <t>ВЛИ</t>
  </si>
  <si>
    <t>АС 4х25</t>
  </si>
  <si>
    <t>железобетонных  опорах  - 28 штук)</t>
  </si>
  <si>
    <t xml:space="preserve">ВЛ ВЛ 0,4кВ Л-1 от МТП15/0,4  кВ № 06-20 </t>
  </si>
  <si>
    <t>на железобетонных  опорах  - 24 шryки</t>
  </si>
  <si>
    <t>ВЛ 0,4кВ Л-2 от МТП 06-20 15/0,4  кВ</t>
  </si>
  <si>
    <t xml:space="preserve">ВЛ ВЛ 0,4кВ Л-2 от МТП15/0,4  кВ № 06-20 </t>
  </si>
  <si>
    <t>ВЛ 0,4кВ Л-3 от МТП 06-20 15/0,4  кВ</t>
  </si>
  <si>
    <t>ВЛ 0,4кВ Л-4 от МТП 06-20 15/0,4  кВ</t>
  </si>
  <si>
    <t>на железобетонных  опорах  - 28 штук</t>
  </si>
  <si>
    <t>АС 3х50</t>
  </si>
  <si>
    <t>на железобетонных  опорах  - 3 шryки</t>
  </si>
  <si>
    <t xml:space="preserve"> ВЛ 0,4кВ Л-1 от КТП 06-19 15/0,4</t>
  </si>
  <si>
    <t>СИП 4х120</t>
  </si>
  <si>
    <t xml:space="preserve"> ВЛ 0,4кВ Л-2 от КТП 06-19 15/0,4</t>
  </si>
  <si>
    <t xml:space="preserve">на железобетонных  опорах </t>
  </si>
  <si>
    <t xml:space="preserve"> ВЛ 0,4кВ Л-3 от КТП 06-19 15/0,4</t>
  </si>
  <si>
    <t xml:space="preserve"> ВЛ 0,4кВ Л-4 от КТП 06-19 15/0,4</t>
  </si>
  <si>
    <t xml:space="preserve"> ВЛ 0,4кВ Л-5 от КТП 06-19 15/0,4</t>
  </si>
  <si>
    <t xml:space="preserve"> ВЛ 0,4кВ Л-6 от КТП 06-19 15/0,4</t>
  </si>
  <si>
    <t xml:space="preserve"> ВЛ 0,4кВ Л-7 от КТП 06-19 15/0,4</t>
  </si>
  <si>
    <t>СИП  4х120</t>
  </si>
  <si>
    <t>совместный подвес с Л-1, Л-2, Л-3, Л-4, Л-5, Л-6, Л-7</t>
  </si>
  <si>
    <t>на железобетонных опорах  - 20 шryк</t>
  </si>
  <si>
    <t>на железобетонных  опорах- 13 штук</t>
  </si>
  <si>
    <t>на железобетонных опорах  - 28 штук)</t>
  </si>
  <si>
    <t xml:space="preserve">ВЛ 0,4кВ Л-7 от КТП 06-19 15/0,4,  совместный  подвес ВЛ 0,4кВ Л-1, ВЛ 0,4кВ Л-2, ВЛ 0,4кВ Л-3, ВЛ 0,4кВ Л-4, ВЛ 0,4кВ Л-5, ВЛ 0,4кВ  Л-6 и ВЛ 0,4кВ  Л-7 </t>
  </si>
  <si>
    <t xml:space="preserve"> ВЛ 0,4кВ Л-8 от КТП 06-19 15/04</t>
  </si>
  <si>
    <t xml:space="preserve"> ВЛ 0,4кВ Л-9 от КТП 06-19 15/0,4</t>
  </si>
  <si>
    <t xml:space="preserve"> ВЛ 0,4кВ Л-10 от КТП 06-19 15/0,4</t>
  </si>
  <si>
    <t xml:space="preserve"> ВЛ 0,4кВ Л-11 от КТП 06-19 15/0,4</t>
  </si>
  <si>
    <t xml:space="preserve"> ВЛ 0,4кВ Л-13 от КТП 06-19 15/0,4</t>
  </si>
  <si>
    <t xml:space="preserve"> ВЛ 0,4кВ Л-14 от КТП 06-19 15/0,4</t>
  </si>
  <si>
    <t xml:space="preserve"> ВЛ 0,4кВ Л-15 от КТП 06-19 15/0,4</t>
  </si>
  <si>
    <t xml:space="preserve"> ВЛ 0,4кВ Л-17 от КТП 06-19 15/0,4</t>
  </si>
  <si>
    <t xml:space="preserve"> ВЛ 0,4кВ Л-16 от КТП 06-19 15/0,4</t>
  </si>
  <si>
    <t>АС 4х35</t>
  </si>
  <si>
    <t>совместный подвес с Л-8</t>
  </si>
  <si>
    <t>совместный подвес с Л-9</t>
  </si>
  <si>
    <t>СИП  4х25</t>
  </si>
  <si>
    <t>на железобетонных опорах  - 20 штук</t>
  </si>
  <si>
    <t>на железобетонных опорах  - 29 штук</t>
  </si>
  <si>
    <t>на железобетонных опорах  - 55 штук</t>
  </si>
  <si>
    <t>на железобетонныхопорах  - 21 штука</t>
  </si>
  <si>
    <t>на железобетонных опорах  - 22 штуки</t>
  </si>
  <si>
    <t>на железобетонных опорах  - б штук</t>
  </si>
  <si>
    <t>КЛ № 63-01 10кВ от ПС О-63 Университетская  до РТП-1</t>
  </si>
  <si>
    <t>КЛ № б3-14 10 кВ отПС  О-63 Университетская  до РТП-1,</t>
  </si>
  <si>
    <t xml:space="preserve">КЛ 0,4 кВ от  I секции  РУ 0,4 кВ РТП -1 РД до - 1 секции ВРУ 0,4 кВ Гребной клуб  </t>
  </si>
  <si>
    <t xml:space="preserve">КЛ 0,4 кВ от  II секции  РУ 0,4 кВ РТП -1 РД до - 2 секции ВРУ 0,4 кВ Гребной клуб  </t>
  </si>
  <si>
    <t xml:space="preserve">КЛ 0,4 кВ от  I секции  РУ 0,4 кВ РТП -1 РД до - 1 секции ВРУ 0,4 кВ  Отель  Кайзерхоф  </t>
  </si>
  <si>
    <t>КЛ 0,4 кВ от  II секции  РУ 0,4 кВ РТП -1 РД до - 2 секции ВРУ 0,4 кВ до Отель Кайзерхоф</t>
  </si>
  <si>
    <t xml:space="preserve">КЛ 0,4 кВ от I секции РУ 0,4 кВ ТП 1010 - 1 секции ВРУ 0,4кВ Информационный центр </t>
  </si>
  <si>
    <t xml:space="preserve">КЛ 0,4 кВ от II секции РУ 0,4кВ ТП 1010 - 2 секции ВРУ 0,4кВ  Информационный центр </t>
  </si>
  <si>
    <t xml:space="preserve">КЛ 0,4 кВ от I секции РУ 0,4 кВ ТП 1010 - 1 секции ВРУ 0,4кВ Маяк </t>
  </si>
  <si>
    <t xml:space="preserve">КЛ 0,4 кВ от I секции РУ 0,4 кВ ТП 1010 - 1 секции ВРУ 0,4кВ Гостиница </t>
  </si>
  <si>
    <t xml:space="preserve">КЛ 0,4 кВ от II секции РУ 0,4кВ ТП 1010 - 2 секции ВРУ 0,4кВ Маяк </t>
  </si>
  <si>
    <t xml:space="preserve">КЛ 0,4 кВ от I секции РУ 0,4 кВ ТП 1010 - 1 секции ВРУ 0,4кВ Речной вокзал </t>
  </si>
  <si>
    <t>КЛ 0,4 кВ от II секции РУ 0,4кВ ТП 1010 -Речной вокзал</t>
  </si>
  <si>
    <t xml:space="preserve">КЛ 0,4 кВ от II секции РУ 0,4кВ ТП 1010 - 2 секции ВРУ 0,4кВ Гостиница </t>
  </si>
  <si>
    <t>Н</t>
  </si>
  <si>
    <t>Год раскрытия информации: 2024 год</t>
  </si>
  <si>
    <t xml:space="preserve"> МО "город Калининград"</t>
  </si>
  <si>
    <t>∆P_тр = 3,45МВА; ∆L=27,422 км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</si>
</sst>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5"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3" fillId="0" borderId="0" applyNumberFormat="0" applyFill="0" applyBorder="0" applyAlignment="0" applyProtection="0"/>
  </cellStyleXfs>
  <cellXfs count="467">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4" fillId="0" borderId="1" xfId="49" applyNumberFormat="1" applyFont="1" applyBorder="1" applyAlignment="1">
      <alignment horizontal="center" vertical="center"/>
    </xf>
    <xf numFmtId="0" fontId="64" fillId="0" borderId="1" xfId="49" applyFont="1" applyBorder="1" applyAlignment="1">
      <alignment horizontal="center" vertical="center"/>
    </xf>
    <xf numFmtId="0" fontId="64"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7" fillId="0" borderId="1" xfId="0" applyNumberFormat="1" applyFont="1" applyBorder="1" applyAlignment="1">
      <alignment horizontal="center" vertical="center" wrapText="1"/>
    </xf>
    <xf numFmtId="0" fontId="10" fillId="0" borderId="1" xfId="2" applyBorder="1" applyAlignment="1">
      <alignment vertical="center" wrapText="1"/>
    </xf>
    <xf numFmtId="3" fontId="72" fillId="0" borderId="33" xfId="67" applyNumberFormat="1" applyFont="1" applyBorder="1" applyAlignment="1">
      <alignment vertical="center"/>
    </xf>
    <xf numFmtId="0" fontId="73" fillId="0" borderId="25" xfId="128" applyFill="1" applyBorder="1" applyAlignment="1">
      <alignment horizontal="justify"/>
    </xf>
    <xf numFmtId="0" fontId="68" fillId="0" borderId="1" xfId="62" applyFont="1" applyBorder="1" applyAlignment="1">
      <alignment horizontal="center" vertical="center" wrapText="1"/>
    </xf>
    <xf numFmtId="0" fontId="10" fillId="0" borderId="0" xfId="62" applyFont="1" applyAlignment="1">
      <alignment horizontal="center" vertical="center" wrapText="1"/>
    </xf>
    <xf numFmtId="0" fontId="68" fillId="0" borderId="0" xfId="62" applyFont="1" applyAlignment="1">
      <alignment horizontal="center" vertical="center" wrapText="1"/>
    </xf>
    <xf numFmtId="49" fontId="68" fillId="0" borderId="0" xfId="62" applyNumberFormat="1" applyFont="1" applyAlignment="1">
      <alignment horizontal="center" vertical="center" wrapText="1"/>
    </xf>
    <xf numFmtId="0" fontId="11" fillId="26" borderId="0" xfId="1" applyFont="1" applyFill="1" applyAlignment="1">
      <alignment vertical="center"/>
    </xf>
    <xf numFmtId="0" fontId="28" fillId="0" borderId="0" xfId="0" applyFont="1"/>
    <xf numFmtId="0" fontId="74" fillId="0" borderId="0" xfId="0" applyFont="1"/>
    <xf numFmtId="0" fontId="41" fillId="0" borderId="0" xfId="0" applyFont="1" applyAlignment="1">
      <alignment horizontal="right" vertical="center"/>
    </xf>
    <xf numFmtId="0" fontId="69" fillId="0" borderId="0" xfId="0" applyFont="1"/>
    <xf numFmtId="0" fontId="75" fillId="0" borderId="0" xfId="0" applyFont="1"/>
    <xf numFmtId="0" fontId="76" fillId="0" borderId="0" xfId="0" applyFont="1"/>
    <xf numFmtId="0" fontId="41" fillId="0" borderId="0" xfId="0" applyFont="1" applyAlignment="1">
      <alignment horizontal="right"/>
    </xf>
    <xf numFmtId="0" fontId="77" fillId="0" borderId="0" xfId="0" applyFont="1" applyAlignment="1">
      <alignment horizontal="left" vertical="center"/>
    </xf>
    <xf numFmtId="0" fontId="78"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2"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3" fillId="0" borderId="0" xfId="0" applyNumberFormat="1" applyFont="1" applyAlignment="1">
      <alignment horizontal="center" vertical="center"/>
    </xf>
    <xf numFmtId="3" fontId="83"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79"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79" fillId="0" borderId="48" xfId="0" applyNumberFormat="1" applyFont="1" applyBorder="1" applyAlignment="1">
      <alignment horizontal="center" vertical="center"/>
    </xf>
    <xf numFmtId="164" fontId="79" fillId="0" borderId="48"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56" fillId="0" borderId="1" xfId="1" applyFont="1" applyBorder="1" applyAlignment="1">
      <alignment wrapText="1"/>
    </xf>
    <xf numFmtId="0" fontId="56" fillId="0" borderId="1" xfId="1" applyFont="1" applyBorder="1"/>
    <xf numFmtId="9" fontId="56" fillId="0" borderId="1" xfId="68" applyFont="1" applyBorder="1" applyAlignment="1">
      <alignment horizontal="left"/>
    </xf>
    <xf numFmtId="0" fontId="56" fillId="0" borderId="1" xfId="1" applyFont="1" applyBorder="1" applyAlignment="1">
      <alignment horizontal="left" vertical="center"/>
    </xf>
    <xf numFmtId="0" fontId="56" fillId="0" borderId="1" xfId="1" applyFont="1" applyBorder="1" applyAlignment="1">
      <alignment horizontal="left"/>
    </xf>
    <xf numFmtId="0" fontId="11" fillId="26" borderId="0" xfId="2" applyFont="1" applyFill="1" applyAlignment="1">
      <alignment horizontal="right" vertical="center"/>
    </xf>
    <xf numFmtId="0" fontId="11" fillId="26" borderId="0" xfId="2" applyFont="1" applyFill="1" applyAlignment="1">
      <alignment horizontal="right"/>
    </xf>
    <xf numFmtId="0" fontId="11" fillId="26" borderId="0" xfId="2" applyFont="1" applyFill="1"/>
    <xf numFmtId="0" fontId="10" fillId="26" borderId="1" xfId="45" applyFont="1" applyFill="1" applyBorder="1" applyAlignment="1">
      <alignment horizontal="left" vertical="center" wrapText="1"/>
    </xf>
    <xf numFmtId="0" fontId="10" fillId="26" borderId="2" xfId="45" applyFont="1" applyFill="1" applyBorder="1" applyAlignment="1">
      <alignment horizontal="left" vertical="center" wrapText="1"/>
    </xf>
    <xf numFmtId="173" fontId="10" fillId="26" borderId="1" xfId="2" applyNumberFormat="1" applyFill="1" applyBorder="1" applyAlignment="1">
      <alignment horizontal="center" vertical="center" wrapText="1"/>
    </xf>
    <xf numFmtId="0" fontId="10" fillId="26" borderId="0" xfId="2" applyFill="1"/>
    <xf numFmtId="0" fontId="85" fillId="26" borderId="0" xfId="2" applyFont="1" applyFill="1" applyAlignment="1">
      <alignment vertical="center"/>
    </xf>
    <xf numFmtId="173" fontId="10" fillId="26" borderId="0" xfId="2" applyNumberFormat="1" applyFill="1"/>
    <xf numFmtId="0" fontId="10" fillId="26" borderId="10" xfId="2" applyFill="1" applyBorder="1" applyAlignment="1">
      <alignment horizontal="center" vertical="center" wrapText="1"/>
    </xf>
    <xf numFmtId="0" fontId="10" fillId="26" borderId="1" xfId="2" applyFill="1" applyBorder="1" applyAlignment="1">
      <alignment horizontal="center" vertical="center" wrapText="1"/>
    </xf>
    <xf numFmtId="0" fontId="10" fillId="26" borderId="0" xfId="52" applyFill="1"/>
    <xf numFmtId="0" fontId="10" fillId="26" borderId="1" xfId="2" applyFill="1" applyBorder="1" applyAlignment="1">
      <alignment horizontal="center" vertical="center" textRotation="90" wrapText="1"/>
    </xf>
    <xf numFmtId="49" fontId="10" fillId="26" borderId="1" xfId="2" applyNumberFormat="1" applyFill="1" applyBorder="1" applyAlignment="1">
      <alignment horizontal="center" vertical="center" wrapText="1"/>
    </xf>
    <xf numFmtId="0" fontId="10" fillId="26" borderId="1" xfId="2" applyFill="1" applyBorder="1" applyAlignment="1">
      <alignment horizontal="left" vertical="center" wrapText="1"/>
    </xf>
    <xf numFmtId="0" fontId="10" fillId="26" borderId="6" xfId="2" applyFill="1" applyBorder="1" applyAlignment="1">
      <alignment horizontal="left" vertical="center" wrapText="1"/>
    </xf>
    <xf numFmtId="0" fontId="10" fillId="26" borderId="0" xfId="2" applyFill="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0" xfId="2" applyFill="1" applyAlignment="1">
      <alignment wrapText="1"/>
    </xf>
    <xf numFmtId="0" fontId="10" fillId="26" borderId="0" xfId="2" applyFill="1" applyAlignment="1">
      <alignment horizontal="left"/>
    </xf>
    <xf numFmtId="0" fontId="10" fillId="26" borderId="60" xfId="2" applyFill="1" applyBorder="1" applyAlignment="1">
      <alignment horizontal="center" vertical="center" wrapText="1"/>
    </xf>
    <xf numFmtId="0" fontId="10" fillId="26" borderId="48" xfId="2" applyFill="1" applyBorder="1" applyAlignment="1">
      <alignment horizontal="center" vertical="center" wrapText="1"/>
    </xf>
    <xf numFmtId="173" fontId="10" fillId="26" borderId="48" xfId="2" applyNumberFormat="1" applyFill="1" applyBorder="1" applyAlignment="1">
      <alignment horizontal="center" vertical="center" wrapText="1"/>
    </xf>
    <xf numFmtId="2" fontId="2" fillId="0" borderId="1" xfId="1" applyNumberFormat="1" applyBorder="1" applyAlignment="1">
      <alignment horizontal="left" vertical="center"/>
    </xf>
    <xf numFmtId="2" fontId="56" fillId="0" borderId="1" xfId="1" applyNumberFormat="1" applyFont="1" applyBorder="1" applyAlignment="1">
      <alignment horizontal="left" vertical="center"/>
    </xf>
    <xf numFmtId="0" fontId="10" fillId="0" borderId="48" xfId="62" applyFont="1" applyBorder="1" applyAlignment="1">
      <alignment horizontal="center" vertical="center" wrapText="1"/>
    </xf>
    <xf numFmtId="49" fontId="68" fillId="0" borderId="48" xfId="62" applyNumberFormat="1" applyFont="1" applyBorder="1" applyAlignment="1">
      <alignment horizontal="center" vertical="center" wrapText="1"/>
    </xf>
    <xf numFmtId="0" fontId="68" fillId="0" borderId="48" xfId="62" applyFont="1" applyBorder="1" applyAlignment="1">
      <alignment horizontal="center" vertical="center" wrapText="1"/>
    </xf>
    <xf numFmtId="0" fontId="10" fillId="0" borderId="48" xfId="62" applyFont="1" applyBorder="1" applyAlignment="1">
      <alignment horizontal="left"/>
    </xf>
    <xf numFmtId="0" fontId="10" fillId="0" borderId="48" xfId="62" applyFont="1" applyBorder="1" applyAlignment="1">
      <alignment horizontal="left" vertical="center" wrapText="1"/>
    </xf>
    <xf numFmtId="0" fontId="42" fillId="0" borderId="48" xfId="0" applyFont="1" applyBorder="1" applyAlignment="1">
      <alignment horizontal="left" vertical="center" wrapText="1"/>
    </xf>
    <xf numFmtId="0" fontId="38" fillId="0" borderId="48" xfId="62" applyFont="1" applyBorder="1" applyAlignment="1">
      <alignment horizontal="center" vertical="top"/>
    </xf>
    <xf numFmtId="0" fontId="10" fillId="0" borderId="2" xfId="62" applyFont="1" applyBorder="1" applyAlignment="1">
      <alignment horizontal="left"/>
    </xf>
    <xf numFmtId="0" fontId="10" fillId="0" borderId="2" xfId="62" applyFont="1" applyBorder="1" applyAlignment="1">
      <alignment horizontal="left" vertical="center" wrapText="1"/>
    </xf>
    <xf numFmtId="0" fontId="38" fillId="0" borderId="48" xfId="62" applyFont="1" applyBorder="1" applyAlignment="1">
      <alignment horizontal="left"/>
    </xf>
    <xf numFmtId="0" fontId="10" fillId="0" borderId="48" xfId="62" applyFont="1" applyBorder="1" applyAlignment="1">
      <alignment horizontal="left" wrapText="1"/>
    </xf>
    <xf numFmtId="0" fontId="10" fillId="0" borderId="45" xfId="62" applyFont="1" applyBorder="1" applyAlignment="1">
      <alignment horizontal="left"/>
    </xf>
    <xf numFmtId="0" fontId="10" fillId="0" borderId="48" xfId="62" applyFont="1" applyBorder="1" applyAlignment="1">
      <alignment horizontal="center"/>
    </xf>
    <xf numFmtId="0" fontId="10" fillId="0" borderId="60" xfId="62" applyFont="1" applyBorder="1" applyAlignment="1">
      <alignment horizontal="center"/>
    </xf>
    <xf numFmtId="0" fontId="10" fillId="0" borderId="2" xfId="62" applyFont="1" applyBorder="1" applyAlignment="1">
      <alignment horizontal="center"/>
    </xf>
    <xf numFmtId="0" fontId="10" fillId="0" borderId="60" xfId="62" applyFont="1" applyBorder="1" applyAlignment="1">
      <alignment horizontal="left"/>
    </xf>
    <xf numFmtId="0" fontId="42" fillId="0" borderId="60" xfId="0" applyFont="1" applyBorder="1" applyAlignment="1">
      <alignment horizontal="left" vertical="center" wrapText="1"/>
    </xf>
    <xf numFmtId="0" fontId="42" fillId="0" borderId="2" xfId="0" applyFont="1" applyBorder="1" applyAlignment="1">
      <alignment horizontal="left" vertical="center" wrapText="1"/>
    </xf>
    <xf numFmtId="0" fontId="10" fillId="0" borderId="0" xfId="62" applyFont="1" applyAlignment="1">
      <alignment horizontal="center"/>
    </xf>
    <xf numFmtId="0" fontId="10" fillId="0" borderId="47" xfId="62" applyFont="1" applyBorder="1" applyAlignment="1">
      <alignment horizontal="center"/>
    </xf>
    <xf numFmtId="0" fontId="10" fillId="0" borderId="0" xfId="62" applyFont="1" applyAlignment="1">
      <alignment horizontal="left" vertical="center" wrapText="1"/>
    </xf>
    <xf numFmtId="0" fontId="42" fillId="0" borderId="48" xfId="0" applyFont="1" applyBorder="1" applyAlignment="1">
      <alignment vertical="center" wrapText="1"/>
    </xf>
    <xf numFmtId="0" fontId="10" fillId="0" borderId="45" xfId="62" applyFont="1" applyBorder="1" applyAlignment="1">
      <alignment horizontal="center"/>
    </xf>
    <xf numFmtId="0" fontId="10" fillId="0" borderId="48" xfId="62" applyFont="1" applyBorder="1" applyAlignment="1">
      <alignment horizontal="center"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49" fontId="10" fillId="0" borderId="4" xfId="1" applyNumberFormat="1" applyFont="1" applyBorder="1" applyAlignment="1">
      <alignment horizontal="center" vertical="center"/>
    </xf>
    <xf numFmtId="49" fontId="10" fillId="0" borderId="7" xfId="1" applyNumberFormat="1" applyFont="1" applyBorder="1" applyAlignment="1">
      <alignment horizontal="center" vertical="center"/>
    </xf>
    <xf numFmtId="49" fontId="10"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42" fillId="0" borderId="60" xfId="0" applyFont="1" applyBorder="1" applyAlignment="1">
      <alignment horizontal="left" vertical="center" wrapText="1"/>
    </xf>
    <xf numFmtId="0" fontId="42" fillId="0" borderId="6" xfId="0" applyFont="1" applyBorder="1" applyAlignment="1">
      <alignment horizontal="left" vertical="center" wrapText="1"/>
    </xf>
    <xf numFmtId="0" fontId="42" fillId="0" borderId="2" xfId="0" applyFont="1" applyBorder="1" applyAlignment="1">
      <alignment horizontal="left" vertical="center" wrapText="1"/>
    </xf>
    <xf numFmtId="0" fontId="10" fillId="0" borderId="60" xfId="62" applyFont="1" applyBorder="1" applyAlignment="1">
      <alignment horizontal="left"/>
    </xf>
    <xf numFmtId="0" fontId="10" fillId="0" borderId="6" xfId="62" applyFont="1" applyBorder="1" applyAlignment="1">
      <alignment horizontal="left"/>
    </xf>
    <xf numFmtId="0" fontId="10" fillId="0" borderId="2" xfId="62" applyFont="1" applyBorder="1" applyAlignment="1">
      <alignment horizontal="left"/>
    </xf>
    <xf numFmtId="0" fontId="10" fillId="0" borderId="48" xfId="62" applyFont="1" applyBorder="1" applyAlignment="1">
      <alignment horizontal="center" vertical="center" wrapText="1"/>
    </xf>
    <xf numFmtId="0" fontId="10" fillId="0" borderId="48" xfId="62" applyFont="1" applyBorder="1" applyAlignment="1">
      <alignment horizontal="center"/>
    </xf>
    <xf numFmtId="0" fontId="42" fillId="0" borderId="48" xfId="0" applyFont="1" applyBorder="1" applyAlignment="1">
      <alignment horizontal="left" vertical="center" wrapText="1"/>
    </xf>
    <xf numFmtId="0" fontId="10" fillId="0" borderId="48" xfId="62" applyFont="1" applyBorder="1" applyAlignment="1">
      <alignment horizontal="left" vertical="center" wrapText="1"/>
    </xf>
    <xf numFmtId="0" fontId="10" fillId="0" borderId="48" xfId="62" applyFont="1" applyBorder="1" applyAlignment="1">
      <alignment horizontal="left"/>
    </xf>
    <xf numFmtId="0" fontId="10" fillId="0" borderId="60" xfId="62" applyFont="1" applyBorder="1" applyAlignment="1">
      <alignment horizontal="center"/>
    </xf>
    <xf numFmtId="0" fontId="10" fillId="0" borderId="2" xfId="62" applyFont="1" applyBorder="1" applyAlignment="1">
      <alignment horizont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26" borderId="0" xfId="2" applyFill="1" applyAlignment="1">
      <alignment horizontal="left" vertical="center" wrapText="1"/>
    </xf>
    <xf numFmtId="0" fontId="10" fillId="26" borderId="0" xfId="2" applyFill="1" applyAlignment="1">
      <alignment horizontal="left" wrapText="1"/>
    </xf>
    <xf numFmtId="0" fontId="10" fillId="26" borderId="1" xfId="2" applyFill="1" applyBorder="1" applyAlignment="1">
      <alignment horizontal="center" vertical="center" wrapText="1"/>
    </xf>
    <xf numFmtId="0" fontId="10" fillId="26" borderId="4" xfId="52" applyFill="1" applyBorder="1" applyAlignment="1">
      <alignment horizontal="center" vertical="center"/>
    </xf>
    <xf numFmtId="0" fontId="10" fillId="26" borderId="7" xfId="52" applyFill="1" applyBorder="1" applyAlignment="1">
      <alignment horizontal="center" vertical="center"/>
    </xf>
    <xf numFmtId="0" fontId="10" fillId="26" borderId="3" xfId="52" applyFill="1" applyBorder="1" applyAlignment="1">
      <alignment horizontal="center" vertical="center"/>
    </xf>
    <xf numFmtId="0" fontId="10" fillId="26" borderId="0" xfId="2" applyFill="1" applyAlignment="1">
      <alignment horizontal="left"/>
    </xf>
    <xf numFmtId="0" fontId="10" fillId="26" borderId="48" xfId="2" applyFill="1" applyBorder="1" applyAlignment="1">
      <alignment horizontal="center" vertical="center"/>
    </xf>
    <xf numFmtId="0" fontId="45" fillId="26" borderId="0" xfId="1" applyFont="1" applyFill="1" applyAlignment="1">
      <alignment horizontal="center" vertical="center" wrapText="1"/>
    </xf>
    <xf numFmtId="0" fontId="10" fillId="26" borderId="0" xfId="1" applyFont="1" applyFill="1" applyAlignment="1">
      <alignment horizontal="center" vertical="center"/>
    </xf>
    <xf numFmtId="0" fontId="10" fillId="26" borderId="0" xfId="2" applyFill="1" applyAlignment="1">
      <alignment horizontal="center"/>
    </xf>
    <xf numFmtId="0" fontId="10" fillId="26" borderId="10" xfId="2" applyFill="1" applyBorder="1" applyAlignment="1">
      <alignment horizontal="center" vertical="center" wrapText="1"/>
    </xf>
    <xf numFmtId="0" fontId="10" fillId="26" borderId="6" xfId="2" applyFill="1" applyBorder="1" applyAlignment="1">
      <alignment horizontal="center" vertical="center" wrapText="1"/>
    </xf>
    <xf numFmtId="0" fontId="10" fillId="26" borderId="2" xfId="2" applyFill="1" applyBorder="1" applyAlignment="1">
      <alignment horizontal="center" vertical="center" wrapText="1"/>
    </xf>
    <xf numFmtId="0" fontId="10" fillId="26" borderId="1" xfId="52" applyFill="1" applyBorder="1" applyAlignment="1">
      <alignment horizontal="center" vertical="center" wrapText="1"/>
    </xf>
    <xf numFmtId="0" fontId="10" fillId="26" borderId="0" xfId="0" applyFont="1" applyFill="1" applyAlignment="1">
      <alignment horizontal="center" vertical="center"/>
    </xf>
    <xf numFmtId="0" fontId="11" fillId="26" borderId="0" xfId="1" applyFont="1" applyFill="1" applyAlignment="1">
      <alignment horizontal="center" vertical="center"/>
    </xf>
    <xf numFmtId="0" fontId="45" fillId="26" borderId="0" xfId="1" applyFont="1" applyFill="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эфф'!$B$86:$K$86</c:f>
              <c:numCache>
                <c:formatCode>_-* #\ ##0\ _₽_-;\-* #\ ##0\ _₽_-;_-* "-"??\ _₽_-;_-@_-</c:formatCode>
                <c:ptCount val="10"/>
                <c:pt idx="0">
                  <c:v>-4381780.4600413293</c:v>
                </c:pt>
                <c:pt idx="1">
                  <c:v>-3651483.7167011076</c:v>
                </c:pt>
                <c:pt idx="2">
                  <c:v>-3042903.097250923</c:v>
                </c:pt>
                <c:pt idx="3">
                  <c:v>-2535752.581042436</c:v>
                </c:pt>
                <c:pt idx="4">
                  <c:v>-1780445.0525780574</c:v>
                </c:pt>
                <c:pt idx="5">
                  <c:v>162980.62391006085</c:v>
                </c:pt>
                <c:pt idx="6">
                  <c:v>128116.21209424887</c:v>
                </c:pt>
                <c:pt idx="7">
                  <c:v>87219.37025541981</c:v>
                </c:pt>
                <c:pt idx="8">
                  <c:v>78273.793818966602</c:v>
                </c:pt>
                <c:pt idx="9">
                  <c:v>60771.579051992732</c:v>
                </c:pt>
              </c:numCache>
            </c:numRef>
          </c:val>
          <c:smooth val="0"/>
          <c:extLst>
            <c:ext xmlns:c16="http://schemas.microsoft.com/office/drawing/2014/chart" uri="{C3380CC4-5D6E-409C-BE32-E72D297353CC}">
              <c16:uniqueId val="{00000000-1753-4AE7-8EE8-A6A003587655}"/>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 ##0\ _₽_-;\-* #\ ##0\ _₽_-;_-* "-"??\ _₽_-;_-@_-</c:formatCode>
                <c:ptCount val="10"/>
                <c:pt idx="0">
                  <c:v>-4381780.4600413293</c:v>
                </c:pt>
                <c:pt idx="1">
                  <c:v>-8033264.1767424364</c:v>
                </c:pt>
                <c:pt idx="2">
                  <c:v>-11076167.27399336</c:v>
                </c:pt>
                <c:pt idx="3">
                  <c:v>-13611919.855035797</c:v>
                </c:pt>
                <c:pt idx="4">
                  <c:v>-15392364.907613855</c:v>
                </c:pt>
                <c:pt idx="5">
                  <c:v>-15229384.283703795</c:v>
                </c:pt>
                <c:pt idx="6">
                  <c:v>-15101268.071609545</c:v>
                </c:pt>
                <c:pt idx="7">
                  <c:v>-15014048.701354126</c:v>
                </c:pt>
                <c:pt idx="8">
                  <c:v>-14935774.907535158</c:v>
                </c:pt>
                <c:pt idx="9">
                  <c:v>-14875003.328483166</c:v>
                </c:pt>
              </c:numCache>
            </c:numRef>
          </c:val>
          <c:smooth val="0"/>
          <c:extLst>
            <c:ext xmlns:c16="http://schemas.microsoft.com/office/drawing/2014/chart" uri="{C3380CC4-5D6E-409C-BE32-E72D297353CC}">
              <c16:uniqueId val="{00000000-92C5-4F61-B4B7-9DF0B1BE433F}"/>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C538236B-8FC9-4913-94A0-52442CF814E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20%2019-01_&#1087;&#1072;&#1089;&#1087;&#1086;&#1088;&#1090;_&#1082;&#1072;&#1088;&#1090;&#1099;%20&#1055;&#1057;%20&#1050;&#1091;&#1083;&#1080;&#1082;&#1086;&#1074;&#1086;%20&#1089;%20&#1079;&#1072;&#1093;&#1086;&#1076;&#1072;&#1084;&#1080;.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tabSelected="1" view="pageBreakPreview" zoomScaleSheetLayoutView="100" workbookViewId="0">
      <selection activeCell="C27" sqref="C27"/>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7" customFormat="1" ht="18.75" customHeight="1" x14ac:dyDescent="0.2">
      <c r="A1" s="13"/>
      <c r="C1" s="20" t="s">
        <v>66</v>
      </c>
    </row>
    <row r="2" spans="1:22" s="7" customFormat="1" ht="18.75" customHeight="1" x14ac:dyDescent="0.3">
      <c r="A2" s="13"/>
      <c r="C2" s="11" t="s">
        <v>8</v>
      </c>
    </row>
    <row r="3" spans="1:22" s="7" customFormat="1" ht="18.75" x14ac:dyDescent="0.3">
      <c r="A3" s="12"/>
      <c r="C3" s="11" t="s">
        <v>65</v>
      </c>
    </row>
    <row r="4" spans="1:22" s="7" customFormat="1" ht="18.75" x14ac:dyDescent="0.3">
      <c r="A4" s="12"/>
      <c r="H4" s="11"/>
    </row>
    <row r="5" spans="1:22" s="7" customFormat="1" ht="15.75" x14ac:dyDescent="0.25">
      <c r="A5" s="331" t="s">
        <v>686</v>
      </c>
      <c r="B5" s="331"/>
      <c r="C5" s="331"/>
      <c r="D5" s="82"/>
      <c r="E5" s="82"/>
      <c r="F5" s="82"/>
      <c r="G5" s="82"/>
      <c r="H5" s="82"/>
      <c r="I5" s="82"/>
      <c r="J5" s="82"/>
    </row>
    <row r="6" spans="1:22" s="7" customFormat="1" ht="18.75" x14ac:dyDescent="0.3">
      <c r="A6" s="12"/>
      <c r="H6" s="11"/>
    </row>
    <row r="7" spans="1:22" s="7" customFormat="1" ht="18.75" x14ac:dyDescent="0.2">
      <c r="A7" s="335" t="s">
        <v>7</v>
      </c>
      <c r="B7" s="335"/>
      <c r="C7" s="335"/>
      <c r="D7" s="9"/>
      <c r="E7" s="9"/>
      <c r="F7" s="9"/>
      <c r="G7" s="9"/>
      <c r="H7" s="9"/>
      <c r="I7" s="9"/>
      <c r="J7" s="9"/>
      <c r="K7" s="9"/>
      <c r="L7" s="9"/>
      <c r="M7" s="9"/>
      <c r="N7" s="9"/>
      <c r="O7" s="9"/>
      <c r="P7" s="9"/>
      <c r="Q7" s="9"/>
      <c r="R7" s="9"/>
      <c r="S7" s="9"/>
      <c r="T7" s="9"/>
      <c r="U7" s="9"/>
      <c r="V7" s="9"/>
    </row>
    <row r="8" spans="1:22" s="7" customFormat="1" ht="18.75" x14ac:dyDescent="0.2">
      <c r="A8" s="10"/>
      <c r="B8" s="10"/>
      <c r="C8" s="10"/>
      <c r="D8" s="10"/>
      <c r="E8" s="10"/>
      <c r="F8" s="10"/>
      <c r="G8" s="10"/>
      <c r="H8" s="10"/>
      <c r="I8" s="9"/>
      <c r="J8" s="9"/>
      <c r="K8" s="9"/>
      <c r="L8" s="9"/>
      <c r="M8" s="9"/>
      <c r="N8" s="9"/>
      <c r="O8" s="9"/>
      <c r="P8" s="9"/>
      <c r="Q8" s="9"/>
      <c r="R8" s="9"/>
      <c r="S8" s="9"/>
      <c r="T8" s="9"/>
      <c r="U8" s="9"/>
      <c r="V8" s="9"/>
    </row>
    <row r="9" spans="1:22" s="7" customFormat="1" ht="18.75" x14ac:dyDescent="0.2">
      <c r="A9" s="338" t="s">
        <v>554</v>
      </c>
      <c r="B9" s="338"/>
      <c r="C9" s="338"/>
      <c r="D9" s="6"/>
      <c r="E9" s="6"/>
      <c r="F9" s="6"/>
      <c r="G9" s="6"/>
      <c r="H9" s="6"/>
      <c r="I9" s="9"/>
      <c r="J9" s="9"/>
      <c r="K9" s="9"/>
      <c r="L9" s="9"/>
      <c r="M9" s="9"/>
      <c r="N9" s="9"/>
      <c r="O9" s="9"/>
      <c r="P9" s="9"/>
      <c r="Q9" s="9"/>
      <c r="R9" s="9"/>
      <c r="S9" s="9"/>
      <c r="T9" s="9"/>
      <c r="U9" s="9"/>
      <c r="V9" s="9"/>
    </row>
    <row r="10" spans="1:22" s="7" customFormat="1" ht="18.75" x14ac:dyDescent="0.2">
      <c r="A10" s="332" t="s">
        <v>6</v>
      </c>
      <c r="B10" s="332"/>
      <c r="C10" s="332"/>
      <c r="D10" s="4"/>
      <c r="E10" s="4"/>
      <c r="F10" s="4"/>
      <c r="G10" s="4"/>
      <c r="H10" s="4"/>
      <c r="I10" s="9"/>
      <c r="J10" s="9"/>
      <c r="K10" s="9"/>
      <c r="L10" s="9"/>
      <c r="M10" s="9"/>
      <c r="N10" s="9"/>
      <c r="O10" s="9"/>
      <c r="P10" s="9"/>
      <c r="Q10" s="9"/>
      <c r="R10" s="9"/>
      <c r="S10" s="9"/>
      <c r="T10" s="9"/>
      <c r="U10" s="9"/>
      <c r="V10" s="9"/>
    </row>
    <row r="11" spans="1:22" s="7" customFormat="1" ht="18.75" x14ac:dyDescent="0.2">
      <c r="A11" s="10"/>
      <c r="B11" s="10"/>
      <c r="C11" s="10"/>
      <c r="D11" s="10"/>
      <c r="E11" s="10"/>
      <c r="F11" s="10"/>
      <c r="G11" s="10"/>
      <c r="H11" s="10"/>
      <c r="I11" s="9"/>
      <c r="J11" s="9"/>
      <c r="K11" s="9"/>
      <c r="L11" s="9"/>
      <c r="M11" s="9"/>
      <c r="N11" s="9"/>
      <c r="O11" s="9"/>
      <c r="P11" s="9"/>
      <c r="Q11" s="9"/>
      <c r="R11" s="9"/>
      <c r="S11" s="9"/>
      <c r="T11" s="9"/>
      <c r="U11" s="9"/>
      <c r="V11" s="9"/>
    </row>
    <row r="12" spans="1:22" s="7" customFormat="1" ht="18.75" x14ac:dyDescent="0.2">
      <c r="A12" s="336" t="s">
        <v>582</v>
      </c>
      <c r="B12" s="336"/>
      <c r="C12" s="336"/>
      <c r="D12" s="6"/>
      <c r="E12" s="6"/>
      <c r="F12" s="6"/>
      <c r="G12" s="6"/>
      <c r="H12" s="6"/>
      <c r="I12" s="9"/>
      <c r="J12" s="9"/>
      <c r="K12" s="9"/>
      <c r="L12" s="9"/>
      <c r="M12" s="9"/>
      <c r="N12" s="9"/>
      <c r="O12" s="9"/>
      <c r="P12" s="9"/>
      <c r="Q12" s="9"/>
      <c r="R12" s="9"/>
      <c r="S12" s="9"/>
      <c r="T12" s="9"/>
      <c r="U12" s="9"/>
      <c r="V12" s="9"/>
    </row>
    <row r="13" spans="1:22" s="7" customFormat="1" ht="18.75" x14ac:dyDescent="0.2">
      <c r="A13" s="332" t="s">
        <v>5</v>
      </c>
      <c r="B13" s="332"/>
      <c r="C13" s="332"/>
      <c r="D13" s="4"/>
      <c r="E13" s="4"/>
      <c r="F13" s="4"/>
      <c r="G13" s="4"/>
      <c r="H13" s="4"/>
      <c r="I13" s="9"/>
      <c r="J13" s="9"/>
      <c r="K13" s="9"/>
      <c r="L13" s="9"/>
      <c r="M13" s="9"/>
      <c r="N13" s="9"/>
      <c r="O13" s="9"/>
      <c r="P13" s="9"/>
      <c r="Q13" s="9"/>
      <c r="R13" s="9"/>
      <c r="S13" s="9"/>
      <c r="T13" s="9"/>
      <c r="U13" s="9"/>
      <c r="V13" s="9"/>
    </row>
    <row r="14" spans="1:22" s="7" customFormat="1" ht="15.75" customHeight="1" x14ac:dyDescent="0.2">
      <c r="A14" s="3"/>
      <c r="B14" s="3"/>
      <c r="C14" s="3"/>
      <c r="D14" s="3"/>
      <c r="E14" s="3"/>
      <c r="F14" s="3"/>
      <c r="G14" s="3"/>
      <c r="H14" s="3"/>
      <c r="I14" s="3"/>
      <c r="J14" s="3"/>
      <c r="K14" s="3"/>
      <c r="L14" s="3"/>
      <c r="M14" s="3"/>
      <c r="N14" s="3"/>
      <c r="O14" s="3"/>
      <c r="P14" s="3"/>
      <c r="Q14" s="3"/>
      <c r="R14" s="3"/>
      <c r="S14" s="3"/>
      <c r="T14" s="3"/>
      <c r="U14" s="3"/>
      <c r="V14" s="3"/>
    </row>
    <row r="15" spans="1:22" s="2" customFormat="1" ht="40.5" customHeight="1" x14ac:dyDescent="0.2">
      <c r="A15" s="337" t="s">
        <v>586</v>
      </c>
      <c r="B15" s="337"/>
      <c r="C15" s="337"/>
      <c r="D15" s="6"/>
      <c r="E15" s="6"/>
      <c r="F15" s="6"/>
      <c r="G15" s="6"/>
      <c r="H15" s="6"/>
      <c r="I15" s="6"/>
      <c r="J15" s="6"/>
      <c r="K15" s="6"/>
      <c r="L15" s="6"/>
      <c r="M15" s="6"/>
      <c r="N15" s="6"/>
      <c r="O15" s="6"/>
      <c r="P15" s="6"/>
      <c r="Q15" s="6"/>
      <c r="R15" s="6"/>
      <c r="S15" s="6"/>
      <c r="T15" s="6"/>
      <c r="U15" s="6"/>
      <c r="V15" s="6"/>
    </row>
    <row r="16" spans="1:22" s="2" customFormat="1" ht="15" customHeight="1" x14ac:dyDescent="0.2">
      <c r="A16" s="332" t="s">
        <v>4</v>
      </c>
      <c r="B16" s="332"/>
      <c r="C16" s="332"/>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3"/>
      <c r="D17" s="3"/>
      <c r="E17" s="3"/>
      <c r="F17" s="3"/>
      <c r="G17" s="3"/>
      <c r="H17" s="3"/>
      <c r="I17" s="3"/>
      <c r="J17" s="3"/>
      <c r="K17" s="3"/>
      <c r="L17" s="3"/>
      <c r="M17" s="3"/>
      <c r="N17" s="3"/>
      <c r="O17" s="3"/>
      <c r="P17" s="3"/>
      <c r="Q17" s="3"/>
      <c r="R17" s="3"/>
      <c r="S17" s="3"/>
    </row>
    <row r="18" spans="1:22" s="2" customFormat="1" ht="15" customHeight="1" x14ac:dyDescent="0.2">
      <c r="A18" s="333" t="s">
        <v>408</v>
      </c>
      <c r="B18" s="334"/>
      <c r="C18" s="334"/>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4"/>
      <c r="D19" s="4"/>
      <c r="E19" s="4"/>
      <c r="F19" s="4"/>
      <c r="G19" s="4"/>
      <c r="H19" s="4"/>
      <c r="I19" s="3"/>
      <c r="J19" s="3"/>
      <c r="K19" s="3"/>
      <c r="L19" s="3"/>
      <c r="M19" s="3"/>
      <c r="N19" s="3"/>
      <c r="O19" s="3"/>
      <c r="P19" s="3"/>
      <c r="Q19" s="3"/>
      <c r="R19" s="3"/>
      <c r="S19" s="3"/>
    </row>
    <row r="20" spans="1:22" s="2" customFormat="1" ht="39.75" customHeight="1" x14ac:dyDescent="0.2">
      <c r="A20" s="15" t="s">
        <v>3</v>
      </c>
      <c r="B20" s="19" t="s">
        <v>64</v>
      </c>
      <c r="C20" s="18" t="s">
        <v>63</v>
      </c>
      <c r="D20" s="4"/>
      <c r="E20" s="4"/>
      <c r="F20" s="4"/>
      <c r="G20" s="4"/>
      <c r="H20" s="4"/>
      <c r="I20" s="3"/>
      <c r="J20" s="3"/>
      <c r="K20" s="3"/>
      <c r="L20" s="3"/>
      <c r="M20" s="3"/>
      <c r="N20" s="3"/>
      <c r="O20" s="3"/>
      <c r="P20" s="3"/>
      <c r="Q20" s="3"/>
      <c r="R20" s="3"/>
      <c r="S20" s="3"/>
    </row>
    <row r="21" spans="1:22" s="2" customFormat="1" ht="16.5" customHeight="1" x14ac:dyDescent="0.2">
      <c r="A21" s="18">
        <v>1</v>
      </c>
      <c r="B21" s="19">
        <v>2</v>
      </c>
      <c r="C21" s="18">
        <v>3</v>
      </c>
      <c r="D21" s="4"/>
      <c r="E21" s="4"/>
      <c r="F21" s="4"/>
      <c r="G21" s="4"/>
      <c r="H21" s="4"/>
      <c r="I21" s="3"/>
      <c r="J21" s="3"/>
      <c r="K21" s="3"/>
      <c r="L21" s="3"/>
      <c r="M21" s="3"/>
      <c r="N21" s="3"/>
      <c r="O21" s="3"/>
      <c r="P21" s="3"/>
      <c r="Q21" s="3"/>
      <c r="R21" s="3"/>
      <c r="S21" s="3"/>
    </row>
    <row r="22" spans="1:22" s="2" customFormat="1" ht="39" customHeight="1" x14ac:dyDescent="0.2">
      <c r="A22" s="14" t="s">
        <v>62</v>
      </c>
      <c r="B22" s="22" t="s">
        <v>290</v>
      </c>
      <c r="C22" s="21" t="s">
        <v>556</v>
      </c>
      <c r="D22" s="4"/>
      <c r="E22" s="4"/>
      <c r="F22" s="4"/>
      <c r="G22" s="4"/>
      <c r="H22" s="4"/>
      <c r="I22" s="3"/>
      <c r="J22" s="3"/>
      <c r="K22" s="3"/>
      <c r="L22" s="3"/>
      <c r="M22" s="3"/>
      <c r="N22" s="3"/>
      <c r="O22" s="3"/>
      <c r="P22" s="3"/>
      <c r="Q22" s="3"/>
      <c r="R22" s="3"/>
      <c r="S22" s="3"/>
    </row>
    <row r="23" spans="1:22" s="2" customFormat="1" ht="31.5" x14ac:dyDescent="0.2">
      <c r="A23" s="14" t="s">
        <v>61</v>
      </c>
      <c r="B23" s="17" t="s">
        <v>535</v>
      </c>
      <c r="C23" s="21" t="s">
        <v>557</v>
      </c>
      <c r="D23" s="4"/>
      <c r="E23" s="4"/>
      <c r="F23" s="4"/>
      <c r="G23" s="4"/>
      <c r="H23" s="4"/>
      <c r="I23" s="3"/>
      <c r="J23" s="3"/>
      <c r="K23" s="3"/>
      <c r="L23" s="3"/>
      <c r="M23" s="3"/>
      <c r="N23" s="3"/>
      <c r="O23" s="3"/>
      <c r="P23" s="3"/>
      <c r="Q23" s="3"/>
      <c r="R23" s="3"/>
      <c r="S23" s="3"/>
    </row>
    <row r="24" spans="1:22" s="2" customFormat="1" ht="22.5" customHeight="1" x14ac:dyDescent="0.2">
      <c r="A24" s="325"/>
      <c r="B24" s="326"/>
      <c r="C24" s="327"/>
      <c r="D24" s="4"/>
      <c r="E24" s="4"/>
      <c r="F24" s="4"/>
      <c r="G24" s="4"/>
      <c r="H24" s="4"/>
      <c r="I24" s="3"/>
      <c r="J24" s="3"/>
      <c r="K24" s="3"/>
      <c r="L24" s="3"/>
      <c r="M24" s="3"/>
      <c r="N24" s="3"/>
      <c r="O24" s="3"/>
      <c r="P24" s="3"/>
      <c r="Q24" s="3"/>
      <c r="R24" s="3"/>
      <c r="S24" s="3"/>
    </row>
    <row r="25" spans="1:22" s="2" customFormat="1" ht="58.5" customHeight="1" x14ac:dyDescent="0.2">
      <c r="A25" s="14" t="s">
        <v>60</v>
      </c>
      <c r="B25" s="21" t="s">
        <v>357</v>
      </c>
      <c r="C25" s="15" t="s">
        <v>538</v>
      </c>
      <c r="D25" s="4"/>
      <c r="E25" s="4"/>
      <c r="F25" s="4"/>
      <c r="G25" s="4"/>
      <c r="H25" s="3"/>
      <c r="I25" s="3"/>
      <c r="J25" s="3"/>
      <c r="K25" s="3"/>
      <c r="L25" s="3"/>
      <c r="M25" s="3"/>
      <c r="N25" s="3"/>
      <c r="O25" s="3"/>
      <c r="P25" s="3"/>
      <c r="Q25" s="3"/>
      <c r="R25" s="3"/>
    </row>
    <row r="26" spans="1:22" s="2" customFormat="1" ht="42.75" customHeight="1" x14ac:dyDescent="0.2">
      <c r="A26" s="14" t="s">
        <v>59</v>
      </c>
      <c r="B26" s="21" t="s">
        <v>72</v>
      </c>
      <c r="C26" s="15" t="s">
        <v>423</v>
      </c>
      <c r="D26" s="4"/>
      <c r="E26" s="4"/>
      <c r="F26" s="4"/>
      <c r="G26" s="4"/>
      <c r="H26" s="3"/>
      <c r="I26" s="3"/>
      <c r="J26" s="3"/>
      <c r="K26" s="3"/>
      <c r="L26" s="3"/>
      <c r="M26" s="3"/>
      <c r="N26" s="3"/>
      <c r="O26" s="3"/>
      <c r="P26" s="3"/>
      <c r="Q26" s="3"/>
      <c r="R26" s="3"/>
    </row>
    <row r="27" spans="1:22" s="2" customFormat="1" ht="51.75" customHeight="1" x14ac:dyDescent="0.2">
      <c r="A27" s="14" t="s">
        <v>57</v>
      </c>
      <c r="B27" s="21" t="s">
        <v>71</v>
      </c>
      <c r="C27" s="15" t="s">
        <v>687</v>
      </c>
      <c r="D27" s="4"/>
      <c r="E27" s="4"/>
      <c r="F27" s="4"/>
      <c r="G27" s="4"/>
      <c r="H27" s="3"/>
      <c r="I27" s="3"/>
      <c r="J27" s="3"/>
      <c r="K27" s="3"/>
      <c r="L27" s="3"/>
      <c r="M27" s="3"/>
      <c r="N27" s="3"/>
      <c r="O27" s="3"/>
      <c r="P27" s="3"/>
      <c r="Q27" s="3"/>
      <c r="R27" s="3"/>
    </row>
    <row r="28" spans="1:22" s="2" customFormat="1" ht="42.75" customHeight="1" x14ac:dyDescent="0.2">
      <c r="A28" s="14" t="s">
        <v>56</v>
      </c>
      <c r="B28" s="21" t="s">
        <v>358</v>
      </c>
      <c r="C28" s="15" t="s">
        <v>436</v>
      </c>
      <c r="D28" s="4"/>
      <c r="E28" s="4"/>
      <c r="F28" s="4"/>
      <c r="G28" s="4"/>
      <c r="H28" s="3"/>
      <c r="I28" s="3"/>
      <c r="J28" s="3"/>
      <c r="K28" s="3"/>
      <c r="L28" s="3"/>
      <c r="M28" s="3"/>
      <c r="N28" s="3"/>
      <c r="O28" s="3"/>
      <c r="P28" s="3"/>
      <c r="Q28" s="3"/>
      <c r="R28" s="3"/>
    </row>
    <row r="29" spans="1:22" s="2" customFormat="1" ht="51.75" customHeight="1" x14ac:dyDescent="0.2">
      <c r="A29" s="14" t="s">
        <v>54</v>
      </c>
      <c r="B29" s="21" t="s">
        <v>359</v>
      </c>
      <c r="C29" s="15" t="s">
        <v>436</v>
      </c>
      <c r="D29" s="4"/>
      <c r="E29" s="4"/>
      <c r="F29" s="4"/>
      <c r="G29" s="4"/>
      <c r="H29" s="3"/>
      <c r="I29" s="3"/>
      <c r="J29" s="3"/>
      <c r="K29" s="3"/>
      <c r="L29" s="3"/>
      <c r="M29" s="3"/>
      <c r="N29" s="3"/>
      <c r="O29" s="3"/>
      <c r="P29" s="3"/>
      <c r="Q29" s="3"/>
      <c r="R29" s="3"/>
    </row>
    <row r="30" spans="1:22" s="2" customFormat="1" ht="51.75" customHeight="1" x14ac:dyDescent="0.2">
      <c r="A30" s="14" t="s">
        <v>52</v>
      </c>
      <c r="B30" s="21" t="s">
        <v>360</v>
      </c>
      <c r="C30" s="15" t="s">
        <v>436</v>
      </c>
      <c r="D30" s="4"/>
      <c r="E30" s="4"/>
      <c r="F30" s="4"/>
      <c r="G30" s="4"/>
      <c r="H30" s="3"/>
      <c r="I30" s="3"/>
      <c r="J30" s="3"/>
      <c r="K30" s="3"/>
      <c r="L30" s="3"/>
      <c r="M30" s="3"/>
      <c r="N30" s="3"/>
      <c r="O30" s="3"/>
      <c r="P30" s="3"/>
      <c r="Q30" s="3"/>
      <c r="R30" s="3"/>
    </row>
    <row r="31" spans="1:22" s="2" customFormat="1" ht="51.75" customHeight="1" x14ac:dyDescent="0.2">
      <c r="A31" s="14" t="s">
        <v>70</v>
      </c>
      <c r="B31" s="21" t="s">
        <v>361</v>
      </c>
      <c r="C31" s="15" t="s">
        <v>437</v>
      </c>
      <c r="D31" s="4"/>
      <c r="E31" s="4"/>
      <c r="F31" s="4"/>
      <c r="G31" s="4"/>
      <c r="H31" s="3"/>
      <c r="I31" s="3"/>
      <c r="J31" s="3"/>
      <c r="K31" s="3"/>
      <c r="L31" s="3"/>
      <c r="M31" s="3"/>
      <c r="N31" s="3"/>
      <c r="O31" s="3"/>
      <c r="P31" s="3"/>
      <c r="Q31" s="3"/>
      <c r="R31" s="3"/>
    </row>
    <row r="32" spans="1:22" s="2" customFormat="1" ht="51.75" customHeight="1" x14ac:dyDescent="0.2">
      <c r="A32" s="14" t="s">
        <v>68</v>
      </c>
      <c r="B32" s="21" t="s">
        <v>362</v>
      </c>
      <c r="C32" s="15" t="s">
        <v>437</v>
      </c>
      <c r="D32" s="4"/>
      <c r="E32" s="4"/>
      <c r="F32" s="4"/>
      <c r="G32" s="4"/>
      <c r="H32" s="3"/>
      <c r="I32" s="3"/>
      <c r="J32" s="3"/>
      <c r="K32" s="3"/>
      <c r="L32" s="3"/>
      <c r="M32" s="3"/>
      <c r="N32" s="3"/>
      <c r="O32" s="3"/>
      <c r="P32" s="3"/>
      <c r="Q32" s="3"/>
      <c r="R32" s="3"/>
    </row>
    <row r="33" spans="1:18" s="2" customFormat="1" ht="101.25" customHeight="1" x14ac:dyDescent="0.2">
      <c r="A33" s="14" t="s">
        <v>67</v>
      </c>
      <c r="B33" s="21" t="s">
        <v>363</v>
      </c>
      <c r="C33" s="21" t="s">
        <v>546</v>
      </c>
      <c r="D33" s="4"/>
      <c r="E33" s="4"/>
      <c r="F33" s="4"/>
      <c r="G33" s="4"/>
      <c r="H33" s="3"/>
      <c r="I33" s="3"/>
      <c r="J33" s="3"/>
      <c r="K33" s="3"/>
      <c r="L33" s="3"/>
      <c r="M33" s="3"/>
      <c r="N33" s="3"/>
      <c r="O33" s="3"/>
      <c r="P33" s="3"/>
      <c r="Q33" s="3"/>
      <c r="R33" s="3"/>
    </row>
    <row r="34" spans="1:18" ht="111" customHeight="1" x14ac:dyDescent="0.25">
      <c r="A34" s="14" t="s">
        <v>377</v>
      </c>
      <c r="B34" s="21" t="s">
        <v>364</v>
      </c>
      <c r="C34" s="15" t="s">
        <v>430</v>
      </c>
    </row>
    <row r="35" spans="1:18" ht="58.5" customHeight="1" x14ac:dyDescent="0.25">
      <c r="A35" s="14" t="s">
        <v>367</v>
      </c>
      <c r="B35" s="21" t="s">
        <v>69</v>
      </c>
      <c r="C35" s="15" t="s">
        <v>436</v>
      </c>
    </row>
    <row r="36" spans="1:18" ht="51.75" customHeight="1" x14ac:dyDescent="0.25">
      <c r="A36" s="14" t="s">
        <v>378</v>
      </c>
      <c r="B36" s="21" t="s">
        <v>365</v>
      </c>
      <c r="C36" s="15" t="s">
        <v>436</v>
      </c>
    </row>
    <row r="37" spans="1:18" ht="43.5" customHeight="1" x14ac:dyDescent="0.25">
      <c r="A37" s="14" t="s">
        <v>368</v>
      </c>
      <c r="B37" s="21" t="s">
        <v>366</v>
      </c>
      <c r="C37" s="15" t="s">
        <v>436</v>
      </c>
    </row>
    <row r="38" spans="1:18" ht="43.5" customHeight="1" x14ac:dyDescent="0.25">
      <c r="A38" s="14" t="s">
        <v>379</v>
      </c>
      <c r="B38" s="21" t="s">
        <v>209</v>
      </c>
      <c r="C38" s="15" t="s">
        <v>436</v>
      </c>
    </row>
    <row r="39" spans="1:18" ht="23.25" customHeight="1" x14ac:dyDescent="0.25">
      <c r="A39" s="325"/>
      <c r="B39" s="326"/>
      <c r="C39" s="327"/>
    </row>
    <row r="40" spans="1:18" ht="63" x14ac:dyDescent="0.25">
      <c r="A40" s="14" t="s">
        <v>369</v>
      </c>
      <c r="B40" s="21" t="s">
        <v>420</v>
      </c>
      <c r="C40" s="270" t="s">
        <v>688</v>
      </c>
    </row>
    <row r="41" spans="1:18" ht="108.75" customHeight="1" x14ac:dyDescent="0.25">
      <c r="A41" s="14" t="s">
        <v>380</v>
      </c>
      <c r="B41" s="21" t="s">
        <v>403</v>
      </c>
      <c r="C41" s="119" t="s">
        <v>297</v>
      </c>
    </row>
    <row r="42" spans="1:18" ht="73.5" customHeight="1" x14ac:dyDescent="0.25">
      <c r="A42" s="14" t="s">
        <v>370</v>
      </c>
      <c r="B42" s="21" t="s">
        <v>417</v>
      </c>
      <c r="C42" s="119" t="str">
        <f>A15</f>
        <v>Покупка объектов основных средств электросетевого хозяйства</v>
      </c>
    </row>
    <row r="43" spans="1:18" ht="186" customHeight="1" x14ac:dyDescent="0.25">
      <c r="A43" s="14" t="s">
        <v>383</v>
      </c>
      <c r="B43" s="21" t="s">
        <v>384</v>
      </c>
      <c r="C43" s="84" t="s">
        <v>542</v>
      </c>
    </row>
    <row r="44" spans="1:18" ht="111" customHeight="1" x14ac:dyDescent="0.25">
      <c r="A44" s="117" t="s">
        <v>371</v>
      </c>
      <c r="B44" s="119" t="s">
        <v>409</v>
      </c>
      <c r="C44" s="274" t="s">
        <v>578</v>
      </c>
    </row>
    <row r="45" spans="1:18" ht="83.25" customHeight="1" x14ac:dyDescent="0.25">
      <c r="A45" s="117" t="s">
        <v>404</v>
      </c>
      <c r="B45" s="119" t="s">
        <v>410</v>
      </c>
      <c r="C45" s="272">
        <f>11/16</f>
        <v>0.6875</v>
      </c>
    </row>
    <row r="46" spans="1:18" ht="101.25" customHeight="1" x14ac:dyDescent="0.25">
      <c r="A46" s="117" t="s">
        <v>372</v>
      </c>
      <c r="B46" s="119" t="s">
        <v>411</v>
      </c>
      <c r="C46" s="271" t="s">
        <v>538</v>
      </c>
    </row>
    <row r="47" spans="1:18" ht="18.75" customHeight="1" x14ac:dyDescent="0.25">
      <c r="A47" s="328"/>
      <c r="B47" s="329"/>
      <c r="C47" s="330"/>
    </row>
    <row r="48" spans="1:18" ht="75.75" hidden="1" customHeight="1" x14ac:dyDescent="0.25">
      <c r="A48" s="117" t="s">
        <v>405</v>
      </c>
      <c r="B48" s="119" t="s">
        <v>418</v>
      </c>
      <c r="C48" s="273" t="str">
        <f>CONCATENATE(ROUND('6.2. Паспорт фин осв ввод факт'!AB24,2)," млн.руб.")</f>
        <v>294,53 млн.руб.</v>
      </c>
      <c r="D48" s="1" t="s">
        <v>540</v>
      </c>
    </row>
    <row r="49" spans="1:4" ht="71.25" hidden="1" customHeight="1" x14ac:dyDescent="0.25">
      <c r="A49" s="117" t="s">
        <v>373</v>
      </c>
      <c r="B49" s="119" t="s">
        <v>419</v>
      </c>
      <c r="C49" s="273" t="str">
        <f>CONCATENATE(ROUND('6.2. Паспорт фин осв ввод факт'!AB30,2)," млн.руб.")</f>
        <v>249,6 млн.руб.</v>
      </c>
      <c r="D49" s="1" t="s">
        <v>540</v>
      </c>
    </row>
    <row r="50" spans="1:4" ht="75.75" customHeight="1" x14ac:dyDescent="0.25">
      <c r="A50" s="117" t="s">
        <v>405</v>
      </c>
      <c r="B50" s="119" t="s">
        <v>418</v>
      </c>
      <c r="C50" s="300">
        <f>'6.2. Паспорт фин осв ввод'!C24</f>
        <v>46.270399999999995</v>
      </c>
      <c r="D50" s="1" t="s">
        <v>541</v>
      </c>
    </row>
    <row r="51" spans="1:4" ht="71.25" customHeight="1" x14ac:dyDescent="0.25">
      <c r="A51" s="14" t="s">
        <v>373</v>
      </c>
      <c r="B51" s="21" t="s">
        <v>419</v>
      </c>
      <c r="C51" s="299">
        <f>'6.2. Паспорт фин осв ввод'!C30</f>
        <v>42.937066666666666</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1"/>
    <col min="2" max="2" width="57.85546875" style="31" customWidth="1"/>
    <col min="3" max="3" width="13" style="31" customWidth="1"/>
    <col min="4" max="4" width="17.85546875" style="31" customWidth="1"/>
    <col min="5" max="5" width="20.42578125" style="31" customWidth="1"/>
    <col min="6" max="6" width="18.7109375" style="31" customWidth="1"/>
    <col min="7" max="7" width="12.85546875" style="31" customWidth="1"/>
    <col min="8" max="27" width="9.28515625" style="31" customWidth="1"/>
    <col min="28" max="28" width="13.140625" style="31" customWidth="1"/>
    <col min="29" max="29" width="24.85546875" style="31" customWidth="1"/>
    <col min="30" max="30" width="9.140625" style="31"/>
    <col min="31" max="31" width="10.7109375" style="31" bestFit="1" customWidth="1"/>
    <col min="32" max="32" width="9.5703125" style="31" bestFit="1" customWidth="1"/>
    <col min="33" max="16384" width="9.140625" style="31"/>
  </cols>
  <sheetData>
    <row r="1" spans="1:29" ht="18.75" x14ac:dyDescent="0.25">
      <c r="AC1" s="20" t="s">
        <v>66</v>
      </c>
    </row>
    <row r="2" spans="1:29" ht="18.75" x14ac:dyDescent="0.3">
      <c r="AC2" s="11" t="s">
        <v>8</v>
      </c>
    </row>
    <row r="3" spans="1:29" ht="18.75" x14ac:dyDescent="0.3">
      <c r="AC3" s="11" t="s">
        <v>65</v>
      </c>
    </row>
    <row r="4" spans="1:29" ht="18.75" customHeight="1" x14ac:dyDescent="0.25">
      <c r="A4" s="413" t="str">
        <f>'1. паспорт местоположение'!A5:C5</f>
        <v>Год раскрытия информации: 2024 год</v>
      </c>
      <c r="B4" s="413"/>
      <c r="C4" s="413"/>
      <c r="D4" s="413"/>
      <c r="E4" s="413"/>
      <c r="F4" s="413"/>
      <c r="G4" s="413"/>
      <c r="H4" s="413"/>
      <c r="I4" s="413"/>
      <c r="J4" s="413"/>
      <c r="K4" s="413"/>
      <c r="L4" s="413"/>
      <c r="M4" s="413"/>
      <c r="N4" s="413"/>
      <c r="O4" s="413"/>
      <c r="P4" s="413"/>
      <c r="Q4" s="413"/>
      <c r="R4" s="413"/>
      <c r="S4" s="413"/>
      <c r="T4" s="413"/>
      <c r="U4" s="413"/>
      <c r="V4" s="413"/>
      <c r="W4" s="413"/>
      <c r="X4" s="413"/>
      <c r="Y4" s="413"/>
      <c r="Z4" s="413"/>
      <c r="AA4" s="413"/>
      <c r="AB4" s="413"/>
      <c r="AC4" s="413"/>
    </row>
    <row r="5" spans="1:29" ht="18.75" x14ac:dyDescent="0.3">
      <c r="AC5" s="11"/>
    </row>
    <row r="6" spans="1:29" ht="18.75" x14ac:dyDescent="0.25">
      <c r="A6" s="335" t="s">
        <v>7</v>
      </c>
      <c r="B6" s="335"/>
      <c r="C6" s="335"/>
      <c r="D6" s="335"/>
      <c r="E6" s="335"/>
      <c r="F6" s="335"/>
      <c r="G6" s="335"/>
      <c r="H6" s="335"/>
      <c r="I6" s="335"/>
      <c r="J6" s="335"/>
      <c r="K6" s="335"/>
      <c r="L6" s="335"/>
      <c r="M6" s="335"/>
      <c r="N6" s="335"/>
      <c r="O6" s="335"/>
      <c r="P6" s="335"/>
      <c r="Q6" s="335"/>
      <c r="R6" s="335"/>
      <c r="S6" s="335"/>
      <c r="T6" s="335"/>
      <c r="U6" s="335"/>
      <c r="V6" s="335"/>
      <c r="W6" s="335"/>
      <c r="X6" s="335"/>
      <c r="Y6" s="335"/>
      <c r="Z6" s="335"/>
      <c r="AA6" s="335"/>
      <c r="AB6" s="335"/>
      <c r="AC6" s="335"/>
    </row>
    <row r="7" spans="1:29" ht="18.75" x14ac:dyDescent="0.25">
      <c r="A7" s="9"/>
      <c r="B7" s="9"/>
      <c r="C7" s="9"/>
      <c r="D7" s="9"/>
      <c r="E7" s="9"/>
      <c r="F7" s="9"/>
      <c r="G7" s="9"/>
      <c r="H7" s="9"/>
      <c r="I7" s="9"/>
      <c r="J7" s="50"/>
      <c r="K7" s="50"/>
      <c r="L7" s="50"/>
      <c r="M7" s="50"/>
      <c r="N7" s="50"/>
      <c r="O7" s="50"/>
      <c r="P7" s="50"/>
      <c r="Q7" s="50"/>
      <c r="R7" s="50"/>
      <c r="S7" s="50"/>
      <c r="T7" s="50"/>
      <c r="U7" s="50"/>
      <c r="V7" s="50"/>
      <c r="W7" s="50"/>
      <c r="X7" s="50"/>
      <c r="Y7" s="50"/>
      <c r="Z7" s="50"/>
      <c r="AA7" s="50"/>
      <c r="AB7" s="50"/>
      <c r="AC7" s="50"/>
    </row>
    <row r="8" spans="1:29" x14ac:dyDescent="0.25">
      <c r="A8" s="414" t="str">
        <f>'1. паспорт местоположение'!A9:C9</f>
        <v xml:space="preserve">Акционерное общество "Западная энергетическая компания" </v>
      </c>
      <c r="B8" s="414"/>
      <c r="C8" s="414"/>
      <c r="D8" s="414"/>
      <c r="E8" s="414"/>
      <c r="F8" s="414"/>
      <c r="G8" s="414"/>
      <c r="H8" s="414"/>
      <c r="I8" s="414"/>
      <c r="J8" s="414"/>
      <c r="K8" s="414"/>
      <c r="L8" s="414"/>
      <c r="M8" s="414"/>
      <c r="N8" s="414"/>
      <c r="O8" s="414"/>
      <c r="P8" s="414"/>
      <c r="Q8" s="414"/>
      <c r="R8" s="414"/>
      <c r="S8" s="414"/>
      <c r="T8" s="414"/>
      <c r="U8" s="414"/>
      <c r="V8" s="414"/>
      <c r="W8" s="414"/>
      <c r="X8" s="414"/>
      <c r="Y8" s="414"/>
      <c r="Z8" s="414"/>
      <c r="AA8" s="414"/>
      <c r="AB8" s="414"/>
      <c r="AC8" s="414"/>
    </row>
    <row r="9" spans="1:29" ht="18.75" customHeight="1" x14ac:dyDescent="0.25">
      <c r="A9" s="332" t="s">
        <v>6</v>
      </c>
      <c r="B9" s="332"/>
      <c r="C9" s="332"/>
      <c r="D9" s="332"/>
      <c r="E9" s="332"/>
      <c r="F9" s="332"/>
      <c r="G9" s="332"/>
      <c r="H9" s="332"/>
      <c r="I9" s="332"/>
      <c r="J9" s="332"/>
      <c r="K9" s="332"/>
      <c r="L9" s="332"/>
      <c r="M9" s="332"/>
      <c r="N9" s="332"/>
      <c r="O9" s="332"/>
      <c r="P9" s="332"/>
      <c r="Q9" s="332"/>
      <c r="R9" s="332"/>
      <c r="S9" s="332"/>
      <c r="T9" s="332"/>
      <c r="U9" s="332"/>
      <c r="V9" s="332"/>
      <c r="W9" s="332"/>
      <c r="X9" s="332"/>
      <c r="Y9" s="332"/>
      <c r="Z9" s="332"/>
      <c r="AA9" s="332"/>
      <c r="AB9" s="332"/>
      <c r="AC9" s="332"/>
    </row>
    <row r="10" spans="1:29" ht="18.75" x14ac:dyDescent="0.25">
      <c r="A10" s="9"/>
      <c r="B10" s="9"/>
      <c r="C10" s="9"/>
      <c r="D10" s="9"/>
      <c r="E10" s="9"/>
      <c r="F10" s="9"/>
      <c r="G10" s="9"/>
      <c r="H10" s="9"/>
      <c r="I10" s="9"/>
      <c r="J10" s="50"/>
      <c r="K10" s="50"/>
      <c r="L10" s="50"/>
      <c r="M10" s="50"/>
      <c r="N10" s="50"/>
      <c r="O10" s="50"/>
      <c r="P10" s="50"/>
      <c r="Q10" s="50"/>
      <c r="R10" s="50"/>
      <c r="S10" s="50"/>
      <c r="T10" s="50"/>
      <c r="U10" s="50"/>
      <c r="V10" s="50"/>
      <c r="W10" s="50"/>
      <c r="X10" s="50"/>
      <c r="Y10" s="50"/>
      <c r="Z10" s="50"/>
      <c r="AA10" s="50"/>
      <c r="AB10" s="50"/>
      <c r="AC10" s="50"/>
    </row>
    <row r="11" spans="1:29" x14ac:dyDescent="0.25">
      <c r="A11" s="414" t="str">
        <f>'1. паспорт местоположение'!A12:C12</f>
        <v>O 24-35</v>
      </c>
      <c r="B11" s="414"/>
      <c r="C11" s="414"/>
      <c r="D11" s="414"/>
      <c r="E11" s="414"/>
      <c r="F11" s="414"/>
      <c r="G11" s="414"/>
      <c r="H11" s="414"/>
      <c r="I11" s="414"/>
      <c r="J11" s="414"/>
      <c r="K11" s="414"/>
      <c r="L11" s="414"/>
      <c r="M11" s="414"/>
      <c r="N11" s="414"/>
      <c r="O11" s="414"/>
      <c r="P11" s="414"/>
      <c r="Q11" s="414"/>
      <c r="R11" s="414"/>
      <c r="S11" s="414"/>
      <c r="T11" s="414"/>
      <c r="U11" s="414"/>
      <c r="V11" s="414"/>
      <c r="W11" s="414"/>
      <c r="X11" s="414"/>
      <c r="Y11" s="414"/>
      <c r="Z11" s="414"/>
      <c r="AA11" s="414"/>
      <c r="AB11" s="414"/>
      <c r="AC11" s="414"/>
    </row>
    <row r="12" spans="1:29" x14ac:dyDescent="0.25">
      <c r="A12" s="332" t="s">
        <v>5</v>
      </c>
      <c r="B12" s="332"/>
      <c r="C12" s="332"/>
      <c r="D12" s="332"/>
      <c r="E12" s="332"/>
      <c r="F12" s="332"/>
      <c r="G12" s="332"/>
      <c r="H12" s="332"/>
      <c r="I12" s="332"/>
      <c r="J12" s="332"/>
      <c r="K12" s="332"/>
      <c r="L12" s="332"/>
      <c r="M12" s="332"/>
      <c r="N12" s="332"/>
      <c r="O12" s="332"/>
      <c r="P12" s="332"/>
      <c r="Q12" s="332"/>
      <c r="R12" s="332"/>
      <c r="S12" s="332"/>
      <c r="T12" s="332"/>
      <c r="U12" s="332"/>
      <c r="V12" s="332"/>
      <c r="W12" s="332"/>
      <c r="X12" s="332"/>
      <c r="Y12" s="332"/>
      <c r="Z12" s="332"/>
      <c r="AA12" s="332"/>
      <c r="AB12" s="332"/>
      <c r="AC12" s="332"/>
    </row>
    <row r="13" spans="1:29" ht="16.5" customHeight="1" x14ac:dyDescent="0.3">
      <c r="A13" s="8"/>
      <c r="B13" s="8"/>
      <c r="C13" s="8"/>
      <c r="D13" s="8"/>
      <c r="E13" s="8"/>
      <c r="F13" s="8"/>
      <c r="G13" s="8"/>
      <c r="H13" s="8"/>
      <c r="I13" s="8"/>
      <c r="J13" s="49"/>
      <c r="K13" s="49"/>
      <c r="L13" s="49"/>
      <c r="M13" s="49"/>
      <c r="N13" s="49"/>
      <c r="O13" s="49"/>
      <c r="P13" s="49"/>
      <c r="Q13" s="49"/>
      <c r="R13" s="49"/>
      <c r="S13" s="49"/>
      <c r="T13" s="49"/>
      <c r="U13" s="49"/>
      <c r="V13" s="49"/>
      <c r="W13" s="49"/>
      <c r="X13" s="49"/>
      <c r="Y13" s="49"/>
      <c r="Z13" s="49"/>
      <c r="AA13" s="49"/>
      <c r="AB13" s="49"/>
      <c r="AC13" s="49"/>
    </row>
    <row r="14" spans="1:29" ht="35.25" customHeight="1" x14ac:dyDescent="0.25">
      <c r="A14" s="415" t="str">
        <f>'1. паспорт местоположение'!A15:C15</f>
        <v>Покупка объектов основных средств электросетевого хозяйства</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c r="Z14" s="415"/>
      <c r="AA14" s="415"/>
      <c r="AB14" s="415"/>
      <c r="AC14" s="415"/>
    </row>
    <row r="15" spans="1:29" ht="15.75" customHeight="1" x14ac:dyDescent="0.25">
      <c r="A15" s="332" t="s">
        <v>4</v>
      </c>
      <c r="B15" s="332"/>
      <c r="C15" s="332"/>
      <c r="D15" s="332"/>
      <c r="E15" s="332"/>
      <c r="F15" s="332"/>
      <c r="G15" s="332"/>
      <c r="H15" s="332"/>
      <c r="I15" s="332"/>
      <c r="J15" s="332"/>
      <c r="K15" s="332"/>
      <c r="L15" s="332"/>
      <c r="M15" s="332"/>
      <c r="N15" s="332"/>
      <c r="O15" s="332"/>
      <c r="P15" s="332"/>
      <c r="Q15" s="332"/>
      <c r="R15" s="332"/>
      <c r="S15" s="332"/>
      <c r="T15" s="332"/>
      <c r="U15" s="332"/>
      <c r="V15" s="332"/>
      <c r="W15" s="332"/>
      <c r="X15" s="332"/>
      <c r="Y15" s="332"/>
      <c r="Z15" s="332"/>
      <c r="AA15" s="332"/>
      <c r="AB15" s="332"/>
      <c r="AC15" s="332"/>
    </row>
    <row r="16" spans="1:29" x14ac:dyDescent="0.25">
      <c r="A16" s="416"/>
      <c r="B16" s="416"/>
      <c r="C16" s="416"/>
      <c r="D16" s="416"/>
      <c r="E16" s="416"/>
      <c r="F16" s="416"/>
      <c r="G16" s="416"/>
      <c r="H16" s="416"/>
      <c r="I16" s="416"/>
      <c r="J16" s="416"/>
      <c r="K16" s="416"/>
      <c r="L16" s="416"/>
      <c r="M16" s="416"/>
      <c r="N16" s="416"/>
      <c r="O16" s="416"/>
      <c r="P16" s="416"/>
      <c r="Q16" s="416"/>
      <c r="R16" s="416"/>
      <c r="S16" s="416"/>
      <c r="T16" s="416"/>
      <c r="U16" s="416"/>
      <c r="V16" s="416"/>
      <c r="W16" s="416"/>
      <c r="X16" s="416"/>
      <c r="Y16" s="416"/>
      <c r="Z16" s="416"/>
      <c r="AA16" s="416"/>
      <c r="AB16" s="416"/>
      <c r="AC16" s="416"/>
    </row>
    <row r="18" spans="1:32" x14ac:dyDescent="0.25">
      <c r="A18" s="418" t="s">
        <v>393</v>
      </c>
      <c r="B18" s="418"/>
      <c r="C18" s="418"/>
      <c r="D18" s="418"/>
      <c r="E18" s="418"/>
      <c r="F18" s="418"/>
      <c r="G18" s="418"/>
      <c r="H18" s="418"/>
      <c r="I18" s="418"/>
      <c r="J18" s="418"/>
      <c r="K18" s="418"/>
      <c r="L18" s="418"/>
      <c r="M18" s="418"/>
      <c r="N18" s="418"/>
      <c r="O18" s="418"/>
      <c r="P18" s="418"/>
      <c r="Q18" s="418"/>
      <c r="R18" s="418"/>
      <c r="S18" s="418"/>
      <c r="T18" s="418"/>
      <c r="U18" s="418"/>
      <c r="V18" s="418"/>
      <c r="W18" s="418"/>
      <c r="X18" s="418"/>
      <c r="Y18" s="418"/>
      <c r="Z18" s="418"/>
      <c r="AA18" s="418"/>
      <c r="AB18" s="418"/>
      <c r="AC18" s="418"/>
    </row>
    <row r="20" spans="1:32" ht="33" customHeight="1" x14ac:dyDescent="0.25">
      <c r="A20" s="407" t="s">
        <v>183</v>
      </c>
      <c r="B20" s="407" t="s">
        <v>182</v>
      </c>
      <c r="C20" s="403" t="s">
        <v>181</v>
      </c>
      <c r="D20" s="403"/>
      <c r="E20" s="417" t="s">
        <v>180</v>
      </c>
      <c r="F20" s="417"/>
      <c r="G20" s="407" t="s">
        <v>424</v>
      </c>
      <c r="H20" s="410" t="s">
        <v>425</v>
      </c>
      <c r="I20" s="411"/>
      <c r="J20" s="411"/>
      <c r="K20" s="411"/>
      <c r="L20" s="410" t="s">
        <v>426</v>
      </c>
      <c r="M20" s="411"/>
      <c r="N20" s="411"/>
      <c r="O20" s="411"/>
      <c r="P20" s="410" t="s">
        <v>427</v>
      </c>
      <c r="Q20" s="411"/>
      <c r="R20" s="411"/>
      <c r="S20" s="411"/>
      <c r="T20" s="410" t="s">
        <v>440</v>
      </c>
      <c r="U20" s="411"/>
      <c r="V20" s="411"/>
      <c r="W20" s="411"/>
      <c r="X20" s="410" t="s">
        <v>441</v>
      </c>
      <c r="Y20" s="411"/>
      <c r="Z20" s="411"/>
      <c r="AA20" s="411"/>
      <c r="AB20" s="419" t="s">
        <v>179</v>
      </c>
      <c r="AC20" s="419"/>
      <c r="AD20" s="48"/>
      <c r="AE20" s="48"/>
      <c r="AF20" s="48"/>
    </row>
    <row r="21" spans="1:32" ht="99.75" customHeight="1" x14ac:dyDescent="0.25">
      <c r="A21" s="408"/>
      <c r="B21" s="408"/>
      <c r="C21" s="403"/>
      <c r="D21" s="403"/>
      <c r="E21" s="417"/>
      <c r="F21" s="417"/>
      <c r="G21" s="408"/>
      <c r="H21" s="403" t="s">
        <v>2</v>
      </c>
      <c r="I21" s="403"/>
      <c r="J21" s="403" t="s">
        <v>9</v>
      </c>
      <c r="K21" s="403"/>
      <c r="L21" s="403" t="s">
        <v>2</v>
      </c>
      <c r="M21" s="403"/>
      <c r="N21" s="403" t="s">
        <v>9</v>
      </c>
      <c r="O21" s="403"/>
      <c r="P21" s="403" t="s">
        <v>2</v>
      </c>
      <c r="Q21" s="403"/>
      <c r="R21" s="403" t="s">
        <v>178</v>
      </c>
      <c r="S21" s="403"/>
      <c r="T21" s="403" t="s">
        <v>2</v>
      </c>
      <c r="U21" s="403"/>
      <c r="V21" s="403" t="s">
        <v>178</v>
      </c>
      <c r="W21" s="403"/>
      <c r="X21" s="403" t="s">
        <v>2</v>
      </c>
      <c r="Y21" s="403"/>
      <c r="Z21" s="403" t="s">
        <v>178</v>
      </c>
      <c r="AA21" s="403"/>
      <c r="AB21" s="419"/>
      <c r="AC21" s="419"/>
    </row>
    <row r="22" spans="1:32" ht="89.25" customHeight="1" x14ac:dyDescent="0.25">
      <c r="A22" s="409"/>
      <c r="B22" s="409"/>
      <c r="C22" s="45" t="s">
        <v>2</v>
      </c>
      <c r="D22" s="45" t="s">
        <v>178</v>
      </c>
      <c r="E22" s="47" t="s">
        <v>439</v>
      </c>
      <c r="F22" s="47" t="s">
        <v>484</v>
      </c>
      <c r="G22" s="409"/>
      <c r="H22" s="46" t="s">
        <v>374</v>
      </c>
      <c r="I22" s="46" t="s">
        <v>375</v>
      </c>
      <c r="J22" s="46" t="s">
        <v>374</v>
      </c>
      <c r="K22" s="46" t="s">
        <v>375</v>
      </c>
      <c r="L22" s="46" t="s">
        <v>374</v>
      </c>
      <c r="M22" s="46" t="s">
        <v>375</v>
      </c>
      <c r="N22" s="46" t="s">
        <v>374</v>
      </c>
      <c r="O22" s="46" t="s">
        <v>375</v>
      </c>
      <c r="P22" s="46" t="s">
        <v>374</v>
      </c>
      <c r="Q22" s="46" t="s">
        <v>375</v>
      </c>
      <c r="R22" s="46" t="s">
        <v>374</v>
      </c>
      <c r="S22" s="46" t="s">
        <v>375</v>
      </c>
      <c r="T22" s="46" t="s">
        <v>374</v>
      </c>
      <c r="U22" s="46" t="s">
        <v>375</v>
      </c>
      <c r="V22" s="46" t="s">
        <v>374</v>
      </c>
      <c r="W22" s="46" t="s">
        <v>375</v>
      </c>
      <c r="X22" s="46" t="s">
        <v>374</v>
      </c>
      <c r="Y22" s="46" t="s">
        <v>375</v>
      </c>
      <c r="Z22" s="46" t="s">
        <v>374</v>
      </c>
      <c r="AA22" s="46" t="s">
        <v>375</v>
      </c>
      <c r="AB22" s="45" t="s">
        <v>2</v>
      </c>
      <c r="AC22" s="45" t="s">
        <v>9</v>
      </c>
    </row>
    <row r="23" spans="1:32" ht="19.5" customHeight="1" x14ac:dyDescent="0.25">
      <c r="A23" s="38">
        <v>1</v>
      </c>
      <c r="B23" s="38">
        <v>2</v>
      </c>
      <c r="C23" s="38">
        <v>3</v>
      </c>
      <c r="D23" s="38">
        <v>4</v>
      </c>
      <c r="E23" s="38">
        <v>5</v>
      </c>
      <c r="F23" s="38">
        <v>6</v>
      </c>
      <c r="G23" s="38">
        <v>7</v>
      </c>
      <c r="H23" s="38">
        <v>8</v>
      </c>
      <c r="I23" s="38">
        <v>9</v>
      </c>
      <c r="J23" s="38">
        <v>10</v>
      </c>
      <c r="K23" s="38">
        <v>11</v>
      </c>
      <c r="L23" s="38">
        <v>12</v>
      </c>
      <c r="M23" s="38">
        <v>13</v>
      </c>
      <c r="N23" s="38">
        <v>14</v>
      </c>
      <c r="O23" s="38">
        <v>15</v>
      </c>
      <c r="P23" s="38">
        <v>16</v>
      </c>
      <c r="Q23" s="38">
        <v>17</v>
      </c>
      <c r="R23" s="38">
        <v>18</v>
      </c>
      <c r="S23" s="38">
        <v>19</v>
      </c>
      <c r="T23" s="38">
        <v>12</v>
      </c>
      <c r="U23" s="38">
        <v>13</v>
      </c>
      <c r="V23" s="38">
        <v>14</v>
      </c>
      <c r="W23" s="38">
        <v>15</v>
      </c>
      <c r="X23" s="38">
        <v>16</v>
      </c>
      <c r="Y23" s="38">
        <v>17</v>
      </c>
      <c r="Z23" s="38">
        <v>18</v>
      </c>
      <c r="AA23" s="38">
        <v>19</v>
      </c>
      <c r="AB23" s="38">
        <v>20</v>
      </c>
      <c r="AC23" s="38">
        <f t="shared" ref="AC23" si="0">AB23+1</f>
        <v>21</v>
      </c>
    </row>
    <row r="24" spans="1:32" ht="47.25" customHeight="1" x14ac:dyDescent="0.25">
      <c r="A24" s="43">
        <v>1</v>
      </c>
      <c r="B24" s="42" t="s">
        <v>177</v>
      </c>
      <c r="C24" s="91">
        <f>SUM(C25:C29)</f>
        <v>294.53059319620257</v>
      </c>
      <c r="D24" s="91">
        <v>0</v>
      </c>
      <c r="E24" s="91">
        <f>SUM(E25:E29)</f>
        <v>294.53059319620257</v>
      </c>
      <c r="F24" s="91">
        <f>SUM(F25:F29)</f>
        <v>293.97652119620255</v>
      </c>
      <c r="G24" s="91">
        <f t="shared" ref="G24" si="1">SUM(G25:G29)</f>
        <v>0</v>
      </c>
      <c r="H24" s="91">
        <f t="shared" ref="H24:M24" si="2">SUM(H25:H29)</f>
        <v>0.55407200000000001</v>
      </c>
      <c r="I24" s="91">
        <f t="shared" si="2"/>
        <v>0</v>
      </c>
      <c r="J24" s="91">
        <f t="shared" si="2"/>
        <v>0.55407200000000001</v>
      </c>
      <c r="K24" s="91">
        <f t="shared" si="2"/>
        <v>0</v>
      </c>
      <c r="L24" s="91">
        <f t="shared" si="2"/>
        <v>160.58748429999991</v>
      </c>
      <c r="M24" s="91">
        <f t="shared" si="2"/>
        <v>128.46998823999991</v>
      </c>
      <c r="N24" s="91">
        <f t="shared" ref="N24" si="3">SUM(N25:N29)</f>
        <v>134.10904273</v>
      </c>
      <c r="O24" s="91">
        <f t="shared" ref="O24:AA24" si="4">SUM(O25:O29)</f>
        <v>101.99154667000002</v>
      </c>
      <c r="P24" s="91">
        <f t="shared" si="4"/>
        <v>133.38903689620324</v>
      </c>
      <c r="Q24" s="91">
        <f t="shared" si="4"/>
        <v>0</v>
      </c>
      <c r="R24" s="91">
        <f t="shared" si="4"/>
        <v>0</v>
      </c>
      <c r="S24" s="91">
        <f t="shared" si="4"/>
        <v>0</v>
      </c>
      <c r="T24" s="91">
        <f t="shared" si="4"/>
        <v>0</v>
      </c>
      <c r="U24" s="91">
        <f t="shared" si="4"/>
        <v>0</v>
      </c>
      <c r="V24" s="91">
        <f t="shared" si="4"/>
        <v>0</v>
      </c>
      <c r="W24" s="91">
        <f t="shared" si="4"/>
        <v>0</v>
      </c>
      <c r="X24" s="91">
        <f t="shared" si="4"/>
        <v>0</v>
      </c>
      <c r="Y24" s="91">
        <f t="shared" si="4"/>
        <v>0</v>
      </c>
      <c r="Z24" s="91">
        <f t="shared" si="4"/>
        <v>0</v>
      </c>
      <c r="AA24" s="91">
        <f t="shared" si="4"/>
        <v>0</v>
      </c>
      <c r="AB24" s="95">
        <f t="shared" ref="AB24:AB64" si="5">SUM(H24,L24,P24,T24,X24)</f>
        <v>294.53059319620314</v>
      </c>
      <c r="AC24" s="95">
        <f>J24+N24+R24+V24+Z24</f>
        <v>134.66311472999999</v>
      </c>
    </row>
    <row r="25" spans="1:32" ht="24" customHeight="1" x14ac:dyDescent="0.25">
      <c r="A25" s="40" t="s">
        <v>176</v>
      </c>
      <c r="B25" s="24" t="s">
        <v>175</v>
      </c>
      <c r="C25" s="91">
        <v>0</v>
      </c>
      <c r="D25" s="91">
        <v>0</v>
      </c>
      <c r="E25" s="91">
        <f>C25</f>
        <v>0</v>
      </c>
      <c r="F25" s="91">
        <f>E25-G25-H25</f>
        <v>0</v>
      </c>
      <c r="G25" s="93">
        <v>0</v>
      </c>
      <c r="H25" s="93">
        <v>0</v>
      </c>
      <c r="I25" s="93">
        <v>0</v>
      </c>
      <c r="J25" s="93">
        <v>0</v>
      </c>
      <c r="K25" s="93">
        <v>0</v>
      </c>
      <c r="L25" s="93">
        <f>F25</f>
        <v>0</v>
      </c>
      <c r="M25" s="93">
        <v>0</v>
      </c>
      <c r="N25" s="93">
        <f t="shared" ref="N25:N27" si="6">F25</f>
        <v>0</v>
      </c>
      <c r="O25" s="93">
        <v>0</v>
      </c>
      <c r="P25" s="93">
        <v>0</v>
      </c>
      <c r="Q25" s="93">
        <v>0</v>
      </c>
      <c r="R25" s="93">
        <v>0</v>
      </c>
      <c r="S25" s="93">
        <v>0</v>
      </c>
      <c r="T25" s="93">
        <v>0</v>
      </c>
      <c r="U25" s="93">
        <v>0</v>
      </c>
      <c r="V25" s="93">
        <v>0</v>
      </c>
      <c r="W25" s="93">
        <v>0</v>
      </c>
      <c r="X25" s="93">
        <v>0</v>
      </c>
      <c r="Y25" s="93">
        <v>0</v>
      </c>
      <c r="Z25" s="93">
        <v>0</v>
      </c>
      <c r="AA25" s="93">
        <v>0</v>
      </c>
      <c r="AB25" s="95">
        <f t="shared" si="5"/>
        <v>0</v>
      </c>
      <c r="AC25" s="95">
        <f t="shared" ref="AC25:AC64" si="7">J25+N25+R25+V25+Z25</f>
        <v>0</v>
      </c>
    </row>
    <row r="26" spans="1:32" x14ac:dyDescent="0.25">
      <c r="A26" s="40" t="s">
        <v>174</v>
      </c>
      <c r="B26" s="24" t="s">
        <v>173</v>
      </c>
      <c r="C26" s="91">
        <v>0</v>
      </c>
      <c r="D26" s="91">
        <v>0</v>
      </c>
      <c r="E26" s="91">
        <f>C26</f>
        <v>0</v>
      </c>
      <c r="F26" s="91">
        <f>E26-G26-H26</f>
        <v>0</v>
      </c>
      <c r="G26" s="93">
        <v>0</v>
      </c>
      <c r="H26" s="93">
        <v>0</v>
      </c>
      <c r="I26" s="93">
        <v>0</v>
      </c>
      <c r="J26" s="93">
        <v>0</v>
      </c>
      <c r="K26" s="93">
        <v>0</v>
      </c>
      <c r="L26" s="93">
        <f>F26</f>
        <v>0</v>
      </c>
      <c r="M26" s="93">
        <v>0</v>
      </c>
      <c r="N26" s="93">
        <f t="shared" si="6"/>
        <v>0</v>
      </c>
      <c r="O26" s="93">
        <v>0</v>
      </c>
      <c r="P26" s="93">
        <v>0</v>
      </c>
      <c r="Q26" s="93">
        <v>0</v>
      </c>
      <c r="R26" s="93">
        <v>0</v>
      </c>
      <c r="S26" s="93">
        <v>0</v>
      </c>
      <c r="T26" s="93">
        <v>0</v>
      </c>
      <c r="U26" s="93">
        <v>0</v>
      </c>
      <c r="V26" s="93">
        <v>0</v>
      </c>
      <c r="W26" s="93">
        <v>0</v>
      </c>
      <c r="X26" s="93">
        <v>0</v>
      </c>
      <c r="Y26" s="93">
        <v>0</v>
      </c>
      <c r="Z26" s="93">
        <v>0</v>
      </c>
      <c r="AA26" s="93">
        <v>0</v>
      </c>
      <c r="AB26" s="95">
        <f t="shared" si="5"/>
        <v>0</v>
      </c>
      <c r="AC26" s="95">
        <f t="shared" si="7"/>
        <v>0</v>
      </c>
    </row>
    <row r="27" spans="1:32" ht="31.5" x14ac:dyDescent="0.25">
      <c r="A27" s="40" t="s">
        <v>172</v>
      </c>
      <c r="B27" s="24" t="s">
        <v>356</v>
      </c>
      <c r="C27" s="91">
        <v>0</v>
      </c>
      <c r="D27" s="91">
        <v>0</v>
      </c>
      <c r="E27" s="91">
        <f>C27</f>
        <v>0</v>
      </c>
      <c r="F27" s="91">
        <f>E27-G27-H27</f>
        <v>0</v>
      </c>
      <c r="G27" s="93">
        <v>0</v>
      </c>
      <c r="H27" s="93">
        <v>0</v>
      </c>
      <c r="I27" s="93">
        <v>0</v>
      </c>
      <c r="J27" s="93">
        <v>0</v>
      </c>
      <c r="K27" s="93">
        <v>0</v>
      </c>
      <c r="L27" s="93">
        <f>F27</f>
        <v>0</v>
      </c>
      <c r="M27" s="93">
        <v>0</v>
      </c>
      <c r="N27" s="93">
        <f t="shared" si="6"/>
        <v>0</v>
      </c>
      <c r="O27" s="93">
        <v>0</v>
      </c>
      <c r="P27" s="93">
        <v>0</v>
      </c>
      <c r="Q27" s="93">
        <v>0</v>
      </c>
      <c r="R27" s="93">
        <v>0</v>
      </c>
      <c r="S27" s="93">
        <v>0</v>
      </c>
      <c r="T27" s="93">
        <v>0</v>
      </c>
      <c r="U27" s="93">
        <v>0</v>
      </c>
      <c r="V27" s="93">
        <v>0</v>
      </c>
      <c r="W27" s="93">
        <v>0</v>
      </c>
      <c r="X27" s="93">
        <v>0</v>
      </c>
      <c r="Y27" s="93">
        <v>0</v>
      </c>
      <c r="Z27" s="93">
        <v>0</v>
      </c>
      <c r="AA27" s="93">
        <v>0</v>
      </c>
      <c r="AB27" s="95">
        <f t="shared" si="5"/>
        <v>0</v>
      </c>
      <c r="AC27" s="95">
        <f t="shared" si="7"/>
        <v>0</v>
      </c>
      <c r="AF27" s="92"/>
    </row>
    <row r="28" spans="1:32" x14ac:dyDescent="0.25">
      <c r="A28" s="40" t="s">
        <v>171</v>
      </c>
      <c r="B28" s="24" t="s">
        <v>170</v>
      </c>
      <c r="C28" s="91">
        <f>C30*1.18</f>
        <v>294.53059319620257</v>
      </c>
      <c r="D28" s="91">
        <v>0</v>
      </c>
      <c r="E28" s="91">
        <f>C28</f>
        <v>294.53059319620257</v>
      </c>
      <c r="F28" s="91">
        <f>E28-G28-H28</f>
        <v>293.97652119620255</v>
      </c>
      <c r="G28" s="93">
        <v>0</v>
      </c>
      <c r="H28" s="93">
        <v>0.55407200000000001</v>
      </c>
      <c r="I28" s="93">
        <v>0</v>
      </c>
      <c r="J28" s="93">
        <v>0.55407200000000001</v>
      </c>
      <c r="K28" s="93">
        <v>0</v>
      </c>
      <c r="L28" s="93">
        <v>160.58748429999991</v>
      </c>
      <c r="M28" s="93">
        <v>128.46998823999991</v>
      </c>
      <c r="N28" s="93">
        <v>134.10904273</v>
      </c>
      <c r="O28" s="93">
        <v>101.99154667000002</v>
      </c>
      <c r="P28" s="93">
        <v>133.38903689620324</v>
      </c>
      <c r="Q28" s="93">
        <v>0</v>
      </c>
      <c r="R28" s="93">
        <v>0</v>
      </c>
      <c r="S28" s="93">
        <v>0</v>
      </c>
      <c r="T28" s="93">
        <v>0</v>
      </c>
      <c r="U28" s="93">
        <v>0</v>
      </c>
      <c r="V28" s="93">
        <v>0</v>
      </c>
      <c r="W28" s="93">
        <v>0</v>
      </c>
      <c r="X28" s="93">
        <v>0</v>
      </c>
      <c r="Y28" s="93">
        <v>0</v>
      </c>
      <c r="Z28" s="93">
        <v>0</v>
      </c>
      <c r="AA28" s="93">
        <v>0</v>
      </c>
      <c r="AB28" s="95">
        <f t="shared" si="5"/>
        <v>294.53059319620314</v>
      </c>
      <c r="AC28" s="95">
        <f t="shared" si="7"/>
        <v>134.66311472999999</v>
      </c>
    </row>
    <row r="29" spans="1:32" x14ac:dyDescent="0.25">
      <c r="A29" s="40" t="s">
        <v>169</v>
      </c>
      <c r="B29" s="44" t="s">
        <v>168</v>
      </c>
      <c r="C29" s="91">
        <v>0</v>
      </c>
      <c r="D29" s="91">
        <v>0</v>
      </c>
      <c r="E29" s="91">
        <f>C29</f>
        <v>0</v>
      </c>
      <c r="F29" s="91">
        <f>E29-G29-H29</f>
        <v>0</v>
      </c>
      <c r="G29" s="93">
        <v>0</v>
      </c>
      <c r="H29" s="93">
        <v>0</v>
      </c>
      <c r="I29" s="93">
        <v>0</v>
      </c>
      <c r="J29" s="93">
        <v>0</v>
      </c>
      <c r="K29" s="93">
        <v>0</v>
      </c>
      <c r="L29" s="93">
        <f>F29</f>
        <v>0</v>
      </c>
      <c r="M29" s="93">
        <v>0</v>
      </c>
      <c r="N29" s="93">
        <v>0</v>
      </c>
      <c r="O29" s="93">
        <v>0</v>
      </c>
      <c r="P29" s="93">
        <v>0</v>
      </c>
      <c r="Q29" s="93">
        <v>0</v>
      </c>
      <c r="R29" s="93">
        <v>0</v>
      </c>
      <c r="S29" s="93">
        <v>0</v>
      </c>
      <c r="T29" s="93">
        <v>0</v>
      </c>
      <c r="U29" s="93">
        <v>0</v>
      </c>
      <c r="V29" s="93">
        <v>0</v>
      </c>
      <c r="W29" s="93">
        <v>0</v>
      </c>
      <c r="X29" s="93">
        <v>0</v>
      </c>
      <c r="Y29" s="93">
        <v>0</v>
      </c>
      <c r="Z29" s="93">
        <v>0</v>
      </c>
      <c r="AA29" s="93">
        <v>0</v>
      </c>
      <c r="AB29" s="95">
        <f t="shared" si="5"/>
        <v>0</v>
      </c>
      <c r="AC29" s="95">
        <f t="shared" si="7"/>
        <v>0</v>
      </c>
      <c r="AF29" s="92"/>
    </row>
    <row r="30" spans="1:32" ht="47.25" x14ac:dyDescent="0.25">
      <c r="A30" s="43" t="s">
        <v>61</v>
      </c>
      <c r="B30" s="42" t="s">
        <v>167</v>
      </c>
      <c r="C30" s="91">
        <f>SUM(C31:C34)</f>
        <v>249.60219762390051</v>
      </c>
      <c r="D30" s="91">
        <v>0</v>
      </c>
      <c r="E30" s="91">
        <f>SUM(E31:E34)</f>
        <v>249.60219762390051</v>
      </c>
      <c r="F30" s="91">
        <f>SUM(F31:F34)</f>
        <v>249.13264508152764</v>
      </c>
      <c r="G30" s="91">
        <f t="shared" ref="G30" si="8">SUM(G31:G34)</f>
        <v>0</v>
      </c>
      <c r="H30" s="91">
        <f>SUM(H31:H34)</f>
        <v>0.46955254237288102</v>
      </c>
      <c r="I30" s="91">
        <f>SUM(I31:I34)</f>
        <v>0</v>
      </c>
      <c r="J30" s="91">
        <f>SUM(J31:J34)</f>
        <v>0.46955254237288102</v>
      </c>
      <c r="K30" s="91">
        <f>SUM(K31:K34)</f>
        <v>0</v>
      </c>
      <c r="L30" s="91">
        <f>145.62859444541</f>
        <v>145.62859444540999</v>
      </c>
      <c r="M30" s="91">
        <v>145.6285944454101</v>
      </c>
      <c r="N30" s="91">
        <v>94.271501650000005</v>
      </c>
      <c r="O30" s="91">
        <v>94.27150164999999</v>
      </c>
      <c r="P30" s="91">
        <v>103.504050636118</v>
      </c>
      <c r="Q30" s="91">
        <f t="shared" ref="Q30:AA30" si="9">SUM(Q31:Q34)</f>
        <v>0</v>
      </c>
      <c r="R30" s="91">
        <f t="shared" si="9"/>
        <v>0</v>
      </c>
      <c r="S30" s="91">
        <f t="shared" si="9"/>
        <v>0</v>
      </c>
      <c r="T30" s="91">
        <f t="shared" si="9"/>
        <v>0</v>
      </c>
      <c r="U30" s="91">
        <f t="shared" si="9"/>
        <v>0</v>
      </c>
      <c r="V30" s="91">
        <f t="shared" si="9"/>
        <v>0</v>
      </c>
      <c r="W30" s="91">
        <f t="shared" si="9"/>
        <v>0</v>
      </c>
      <c r="X30" s="91">
        <f t="shared" si="9"/>
        <v>0</v>
      </c>
      <c r="Y30" s="91">
        <f t="shared" si="9"/>
        <v>0</v>
      </c>
      <c r="Z30" s="91">
        <f t="shared" si="9"/>
        <v>0</v>
      </c>
      <c r="AA30" s="91">
        <f t="shared" si="9"/>
        <v>0</v>
      </c>
      <c r="AB30" s="95">
        <f t="shared" si="5"/>
        <v>249.60219762390085</v>
      </c>
      <c r="AC30" s="95">
        <f t="shared" si="7"/>
        <v>94.741054192372886</v>
      </c>
      <c r="AE30" s="92"/>
    </row>
    <row r="31" spans="1:32" x14ac:dyDescent="0.25">
      <c r="A31" s="43" t="s">
        <v>166</v>
      </c>
      <c r="B31" s="24" t="s">
        <v>165</v>
      </c>
      <c r="C31" s="91">
        <f>4.7144209*1.41456447846*0.7</f>
        <v>4.6681966391545968</v>
      </c>
      <c r="D31" s="91">
        <v>0</v>
      </c>
      <c r="E31" s="91">
        <f>C31</f>
        <v>4.6681966391545968</v>
      </c>
      <c r="F31" s="91">
        <f>E31-G31-H31</f>
        <v>4.6681966391545968</v>
      </c>
      <c r="G31" s="93">
        <v>0</v>
      </c>
      <c r="H31" s="93">
        <v>0</v>
      </c>
      <c r="I31" s="93">
        <v>0</v>
      </c>
      <c r="J31" s="93">
        <v>0</v>
      </c>
      <c r="K31" s="93">
        <v>0</v>
      </c>
      <c r="L31" s="93">
        <f>F31</f>
        <v>4.6681966391545968</v>
      </c>
      <c r="M31" s="93">
        <v>4.6681966391545968</v>
      </c>
      <c r="N31" s="93">
        <v>0</v>
      </c>
      <c r="O31" s="93">
        <v>0</v>
      </c>
      <c r="P31" s="93">
        <v>0</v>
      </c>
      <c r="Q31" s="93">
        <v>0</v>
      </c>
      <c r="R31" s="93">
        <v>0</v>
      </c>
      <c r="S31" s="93">
        <v>0</v>
      </c>
      <c r="T31" s="93">
        <v>0</v>
      </c>
      <c r="U31" s="93">
        <v>0</v>
      </c>
      <c r="V31" s="93">
        <v>0</v>
      </c>
      <c r="W31" s="93">
        <v>0</v>
      </c>
      <c r="X31" s="93">
        <v>0</v>
      </c>
      <c r="Y31" s="93">
        <v>0</v>
      </c>
      <c r="Z31" s="93">
        <v>0</v>
      </c>
      <c r="AA31" s="93">
        <v>0</v>
      </c>
      <c r="AB31" s="95">
        <f t="shared" si="5"/>
        <v>4.6681966391545968</v>
      </c>
      <c r="AC31" s="95">
        <f t="shared" si="7"/>
        <v>0</v>
      </c>
    </row>
    <row r="32" spans="1:32" ht="31.5" x14ac:dyDescent="0.25">
      <c r="A32" s="43" t="s">
        <v>164</v>
      </c>
      <c r="B32" s="24" t="s">
        <v>163</v>
      </c>
      <c r="C32" s="91">
        <f>22.591709*1.41456447846*0.7</f>
        <v>22.370200341373565</v>
      </c>
      <c r="D32" s="91">
        <v>0</v>
      </c>
      <c r="E32" s="91">
        <f>C32</f>
        <v>22.370200341373565</v>
      </c>
      <c r="F32" s="91">
        <f>E32-G32-H32</f>
        <v>22.370200341373565</v>
      </c>
      <c r="G32" s="93">
        <v>0</v>
      </c>
      <c r="H32" s="93">
        <v>0</v>
      </c>
      <c r="I32" s="93">
        <v>0</v>
      </c>
      <c r="J32" s="93">
        <v>0</v>
      </c>
      <c r="K32" s="93">
        <v>0</v>
      </c>
      <c r="L32" s="93">
        <f>F32-P32</f>
        <v>13.076330611391265</v>
      </c>
      <c r="M32" s="93">
        <v>13.076330611391265</v>
      </c>
      <c r="N32" s="93">
        <v>1.979398</v>
      </c>
      <c r="O32" s="93">
        <v>1.979398</v>
      </c>
      <c r="P32" s="93">
        <f>F32*(P30/F30)</f>
        <v>9.2938697299822994</v>
      </c>
      <c r="Q32" s="93">
        <v>0</v>
      </c>
      <c r="R32" s="93">
        <v>0</v>
      </c>
      <c r="S32" s="93">
        <v>0</v>
      </c>
      <c r="T32" s="93">
        <v>0</v>
      </c>
      <c r="U32" s="93">
        <v>0</v>
      </c>
      <c r="V32" s="93">
        <v>0</v>
      </c>
      <c r="W32" s="93">
        <v>0</v>
      </c>
      <c r="X32" s="93">
        <v>0</v>
      </c>
      <c r="Y32" s="93">
        <v>0</v>
      </c>
      <c r="Z32" s="93">
        <v>0</v>
      </c>
      <c r="AA32" s="93">
        <v>0</v>
      </c>
      <c r="AB32" s="95">
        <f t="shared" si="5"/>
        <v>22.370200341373565</v>
      </c>
      <c r="AC32" s="95">
        <f t="shared" si="7"/>
        <v>1.979398</v>
      </c>
    </row>
    <row r="33" spans="1:29" x14ac:dyDescent="0.25">
      <c r="A33" s="43" t="s">
        <v>162</v>
      </c>
      <c r="B33" s="24" t="s">
        <v>161</v>
      </c>
      <c r="C33" s="94">
        <f>210.6058062*1.41456447846*0.7</f>
        <v>208.54084468556556</v>
      </c>
      <c r="D33" s="94">
        <v>0</v>
      </c>
      <c r="E33" s="91">
        <f>C33</f>
        <v>208.54084468556556</v>
      </c>
      <c r="F33" s="91">
        <f>E33-G33-H33</f>
        <v>208.54084468556556</v>
      </c>
      <c r="G33" s="93">
        <v>0</v>
      </c>
      <c r="H33" s="93">
        <v>0</v>
      </c>
      <c r="I33" s="93">
        <v>0</v>
      </c>
      <c r="J33" s="93">
        <v>0</v>
      </c>
      <c r="K33" s="93">
        <v>0</v>
      </c>
      <c r="L33" s="93">
        <f>F33-P33</f>
        <v>121.90096599375441</v>
      </c>
      <c r="M33" s="93">
        <v>121.90096599375441</v>
      </c>
      <c r="N33" s="93">
        <v>91.699434690000004</v>
      </c>
      <c r="O33" s="93">
        <v>91.699434690000004</v>
      </c>
      <c r="P33" s="93">
        <f>F33*(P30/F30)</f>
        <v>86.639878691811148</v>
      </c>
      <c r="Q33" s="93">
        <v>0</v>
      </c>
      <c r="R33" s="93">
        <v>0</v>
      </c>
      <c r="S33" s="93">
        <v>0</v>
      </c>
      <c r="T33" s="93">
        <v>0</v>
      </c>
      <c r="U33" s="93">
        <v>0</v>
      </c>
      <c r="V33" s="93">
        <v>0</v>
      </c>
      <c r="W33" s="93">
        <v>0</v>
      </c>
      <c r="X33" s="93">
        <v>0</v>
      </c>
      <c r="Y33" s="93">
        <v>0</v>
      </c>
      <c r="Z33" s="93">
        <v>0</v>
      </c>
      <c r="AA33" s="93">
        <v>0</v>
      </c>
      <c r="AB33" s="95">
        <f t="shared" si="5"/>
        <v>208.54084468556556</v>
      </c>
      <c r="AC33" s="95">
        <f t="shared" si="7"/>
        <v>91.699434690000004</v>
      </c>
    </row>
    <row r="34" spans="1:29" x14ac:dyDescent="0.25">
      <c r="A34" s="43" t="s">
        <v>160</v>
      </c>
      <c r="B34" s="24" t="s">
        <v>159</v>
      </c>
      <c r="C34" s="91">
        <f>14.1618106*1.41456447846*0.7</f>
        <v>14.022955957806809</v>
      </c>
      <c r="D34" s="91">
        <v>0</v>
      </c>
      <c r="E34" s="91">
        <f>C34</f>
        <v>14.022955957806809</v>
      </c>
      <c r="F34" s="91">
        <f>E34-G34-H34</f>
        <v>13.553403415433928</v>
      </c>
      <c r="G34" s="93">
        <v>0</v>
      </c>
      <c r="H34" s="93">
        <v>0.46955254237288102</v>
      </c>
      <c r="I34" s="93">
        <v>0</v>
      </c>
      <c r="J34" s="93">
        <v>0.46955254237288102</v>
      </c>
      <c r="K34" s="93">
        <v>0</v>
      </c>
      <c r="L34" s="93">
        <f>L30-L31-L32-L33</f>
        <v>5.9831012011097187</v>
      </c>
      <c r="M34" s="93">
        <v>5.9831012011097187</v>
      </c>
      <c r="N34" s="93">
        <v>0.59266895999999991</v>
      </c>
      <c r="O34" s="93">
        <v>0.59266895999999991</v>
      </c>
      <c r="P34" s="93">
        <f>P30-P31-P32-P33</f>
        <v>7.570302214324542</v>
      </c>
      <c r="Q34" s="93">
        <v>0</v>
      </c>
      <c r="R34" s="93">
        <v>0</v>
      </c>
      <c r="S34" s="93">
        <v>0</v>
      </c>
      <c r="T34" s="93">
        <v>0</v>
      </c>
      <c r="U34" s="93">
        <v>0</v>
      </c>
      <c r="V34" s="93">
        <v>0</v>
      </c>
      <c r="W34" s="93">
        <v>0</v>
      </c>
      <c r="X34" s="93">
        <v>0</v>
      </c>
      <c r="Y34" s="93">
        <v>0</v>
      </c>
      <c r="Z34" s="93">
        <v>0</v>
      </c>
      <c r="AA34" s="93">
        <v>0</v>
      </c>
      <c r="AB34" s="95">
        <f t="shared" si="5"/>
        <v>14.022955957807142</v>
      </c>
      <c r="AC34" s="95">
        <f t="shared" si="7"/>
        <v>1.0622215023728809</v>
      </c>
    </row>
    <row r="35" spans="1:29" ht="31.5" x14ac:dyDescent="0.25">
      <c r="A35" s="43" t="s">
        <v>60</v>
      </c>
      <c r="B35" s="42" t="s">
        <v>158</v>
      </c>
      <c r="C35" s="91">
        <v>0</v>
      </c>
      <c r="D35" s="91">
        <v>0</v>
      </c>
      <c r="E35" s="91">
        <v>0</v>
      </c>
      <c r="F35" s="91">
        <v>0</v>
      </c>
      <c r="G35" s="91">
        <v>0</v>
      </c>
      <c r="H35" s="91">
        <v>0</v>
      </c>
      <c r="I35" s="91">
        <v>0</v>
      </c>
      <c r="J35" s="91">
        <v>0</v>
      </c>
      <c r="K35" s="91">
        <v>0</v>
      </c>
      <c r="L35" s="91">
        <v>0</v>
      </c>
      <c r="M35" s="91">
        <v>0</v>
      </c>
      <c r="N35" s="91">
        <v>0</v>
      </c>
      <c r="O35" s="91">
        <v>0</v>
      </c>
      <c r="P35" s="91">
        <v>0</v>
      </c>
      <c r="Q35" s="91">
        <v>0</v>
      </c>
      <c r="R35" s="91">
        <v>0</v>
      </c>
      <c r="S35" s="91">
        <v>0</v>
      </c>
      <c r="T35" s="91">
        <v>0</v>
      </c>
      <c r="U35" s="91">
        <v>0</v>
      </c>
      <c r="V35" s="91">
        <v>0</v>
      </c>
      <c r="W35" s="91">
        <v>0</v>
      </c>
      <c r="X35" s="91">
        <v>0</v>
      </c>
      <c r="Y35" s="91">
        <v>0</v>
      </c>
      <c r="Z35" s="91">
        <v>0</v>
      </c>
      <c r="AA35" s="91">
        <v>0</v>
      </c>
      <c r="AB35" s="95">
        <f t="shared" si="5"/>
        <v>0</v>
      </c>
      <c r="AC35" s="95">
        <f t="shared" si="7"/>
        <v>0</v>
      </c>
    </row>
    <row r="36" spans="1:29" ht="31.5" x14ac:dyDescent="0.25">
      <c r="A36" s="40" t="s">
        <v>157</v>
      </c>
      <c r="B36" s="39" t="s">
        <v>156</v>
      </c>
      <c r="C36" s="91">
        <v>0</v>
      </c>
      <c r="D36" s="91">
        <v>0</v>
      </c>
      <c r="E36" s="91">
        <v>0</v>
      </c>
      <c r="F36" s="91">
        <v>0</v>
      </c>
      <c r="G36" s="93">
        <v>0</v>
      </c>
      <c r="H36" s="93">
        <v>0</v>
      </c>
      <c r="I36" s="93">
        <v>0</v>
      </c>
      <c r="J36" s="93">
        <v>0</v>
      </c>
      <c r="K36" s="93">
        <v>0</v>
      </c>
      <c r="L36" s="93">
        <v>0</v>
      </c>
      <c r="M36" s="93">
        <v>0</v>
      </c>
      <c r="N36" s="93">
        <v>0</v>
      </c>
      <c r="O36" s="93">
        <v>0</v>
      </c>
      <c r="P36" s="93">
        <v>0</v>
      </c>
      <c r="Q36" s="93">
        <v>0</v>
      </c>
      <c r="R36" s="93">
        <v>0</v>
      </c>
      <c r="S36" s="93">
        <v>0</v>
      </c>
      <c r="T36" s="93">
        <v>0</v>
      </c>
      <c r="U36" s="93">
        <v>0</v>
      </c>
      <c r="V36" s="93">
        <v>0</v>
      </c>
      <c r="W36" s="93">
        <v>0</v>
      </c>
      <c r="X36" s="93">
        <v>0</v>
      </c>
      <c r="Y36" s="93">
        <v>0</v>
      </c>
      <c r="Z36" s="93">
        <v>0</v>
      </c>
      <c r="AA36" s="93">
        <v>0</v>
      </c>
      <c r="AB36" s="95">
        <f t="shared" si="5"/>
        <v>0</v>
      </c>
      <c r="AC36" s="95">
        <f t="shared" si="7"/>
        <v>0</v>
      </c>
    </row>
    <row r="37" spans="1:29" x14ac:dyDescent="0.25">
      <c r="A37" s="40" t="s">
        <v>155</v>
      </c>
      <c r="B37" s="39" t="s">
        <v>145</v>
      </c>
      <c r="C37" s="91">
        <v>80</v>
      </c>
      <c r="D37" s="91">
        <v>0</v>
      </c>
      <c r="E37" s="91">
        <f>C37</f>
        <v>80</v>
      </c>
      <c r="F37" s="91">
        <f>E37-G37-H37</f>
        <v>80</v>
      </c>
      <c r="G37" s="93">
        <v>0</v>
      </c>
      <c r="H37" s="93">
        <v>0</v>
      </c>
      <c r="I37" s="93">
        <v>0</v>
      </c>
      <c r="J37" s="93">
        <v>0</v>
      </c>
      <c r="K37" s="93">
        <v>0</v>
      </c>
      <c r="L37" s="93">
        <v>0</v>
      </c>
      <c r="M37" s="93">
        <v>0</v>
      </c>
      <c r="N37" s="93">
        <v>0</v>
      </c>
      <c r="O37" s="93">
        <v>0</v>
      </c>
      <c r="P37" s="93">
        <f t="shared" ref="P37:P42" si="10">F37</f>
        <v>80</v>
      </c>
      <c r="Q37" s="93">
        <v>0</v>
      </c>
      <c r="R37" s="93">
        <v>0</v>
      </c>
      <c r="S37" s="93">
        <v>0</v>
      </c>
      <c r="T37" s="93">
        <v>0</v>
      </c>
      <c r="U37" s="93">
        <v>0</v>
      </c>
      <c r="V37" s="93">
        <v>0</v>
      </c>
      <c r="W37" s="93">
        <v>0</v>
      </c>
      <c r="X37" s="93">
        <v>0</v>
      </c>
      <c r="Y37" s="93">
        <v>0</v>
      </c>
      <c r="Z37" s="93">
        <v>0</v>
      </c>
      <c r="AA37" s="93">
        <v>0</v>
      </c>
      <c r="AB37" s="95">
        <f t="shared" si="5"/>
        <v>80</v>
      </c>
      <c r="AC37" s="95">
        <f t="shared" si="7"/>
        <v>0</v>
      </c>
    </row>
    <row r="38" spans="1:29" x14ac:dyDescent="0.25">
      <c r="A38" s="40" t="s">
        <v>154</v>
      </c>
      <c r="B38" s="39" t="s">
        <v>143</v>
      </c>
      <c r="C38" s="91">
        <v>0</v>
      </c>
      <c r="D38" s="91">
        <v>0</v>
      </c>
      <c r="E38" s="91">
        <v>0</v>
      </c>
      <c r="F38" s="91">
        <v>0</v>
      </c>
      <c r="G38" s="93">
        <v>0</v>
      </c>
      <c r="H38" s="93">
        <v>0</v>
      </c>
      <c r="I38" s="93">
        <v>0</v>
      </c>
      <c r="J38" s="93">
        <v>0</v>
      </c>
      <c r="K38" s="93">
        <v>0</v>
      </c>
      <c r="L38" s="93">
        <v>0</v>
      </c>
      <c r="M38" s="93">
        <v>0</v>
      </c>
      <c r="N38" s="93">
        <v>0</v>
      </c>
      <c r="O38" s="93">
        <v>0</v>
      </c>
      <c r="P38" s="93">
        <f t="shared" si="10"/>
        <v>0</v>
      </c>
      <c r="Q38" s="93">
        <v>0</v>
      </c>
      <c r="R38" s="93">
        <v>0</v>
      </c>
      <c r="S38" s="93">
        <v>0</v>
      </c>
      <c r="T38" s="93">
        <v>0</v>
      </c>
      <c r="U38" s="93">
        <v>0</v>
      </c>
      <c r="V38" s="93">
        <v>0</v>
      </c>
      <c r="W38" s="93">
        <v>0</v>
      </c>
      <c r="X38" s="93">
        <v>0</v>
      </c>
      <c r="Y38" s="93">
        <v>0</v>
      </c>
      <c r="Z38" s="93">
        <v>0</v>
      </c>
      <c r="AA38" s="93">
        <v>0</v>
      </c>
      <c r="AB38" s="95">
        <f t="shared" si="5"/>
        <v>0</v>
      </c>
      <c r="AC38" s="95">
        <f t="shared" si="7"/>
        <v>0</v>
      </c>
    </row>
    <row r="39" spans="1:29" ht="31.5" x14ac:dyDescent="0.25">
      <c r="A39" s="40" t="s">
        <v>153</v>
      </c>
      <c r="B39" s="24" t="s">
        <v>141</v>
      </c>
      <c r="C39" s="91">
        <v>0</v>
      </c>
      <c r="D39" s="91">
        <v>0</v>
      </c>
      <c r="E39" s="91">
        <v>0</v>
      </c>
      <c r="F39" s="91">
        <v>0</v>
      </c>
      <c r="G39" s="93">
        <v>0</v>
      </c>
      <c r="H39" s="93">
        <v>0</v>
      </c>
      <c r="I39" s="93">
        <v>0</v>
      </c>
      <c r="J39" s="93">
        <v>0</v>
      </c>
      <c r="K39" s="93">
        <v>0</v>
      </c>
      <c r="L39" s="93">
        <v>0</v>
      </c>
      <c r="M39" s="93">
        <v>0</v>
      </c>
      <c r="N39" s="93">
        <v>0</v>
      </c>
      <c r="O39" s="93">
        <v>0</v>
      </c>
      <c r="P39" s="93">
        <f t="shared" si="10"/>
        <v>0</v>
      </c>
      <c r="Q39" s="93">
        <v>0</v>
      </c>
      <c r="R39" s="93">
        <v>0</v>
      </c>
      <c r="S39" s="93">
        <v>0</v>
      </c>
      <c r="T39" s="93">
        <v>0</v>
      </c>
      <c r="U39" s="93">
        <v>0</v>
      </c>
      <c r="V39" s="93">
        <v>0</v>
      </c>
      <c r="W39" s="93">
        <v>0</v>
      </c>
      <c r="X39" s="93">
        <v>0</v>
      </c>
      <c r="Y39" s="93">
        <v>0</v>
      </c>
      <c r="Z39" s="93">
        <v>0</v>
      </c>
      <c r="AA39" s="93">
        <v>0</v>
      </c>
      <c r="AB39" s="95">
        <f t="shared" si="5"/>
        <v>0</v>
      </c>
      <c r="AC39" s="95">
        <f t="shared" si="7"/>
        <v>0</v>
      </c>
    </row>
    <row r="40" spans="1:29" ht="31.5" x14ac:dyDescent="0.25">
      <c r="A40" s="40" t="s">
        <v>152</v>
      </c>
      <c r="B40" s="24" t="s">
        <v>139</v>
      </c>
      <c r="C40" s="91">
        <v>0</v>
      </c>
      <c r="D40" s="91">
        <v>0</v>
      </c>
      <c r="E40" s="91">
        <v>0</v>
      </c>
      <c r="F40" s="91">
        <v>0</v>
      </c>
      <c r="G40" s="93">
        <v>0</v>
      </c>
      <c r="H40" s="93">
        <v>0</v>
      </c>
      <c r="I40" s="93">
        <v>0</v>
      </c>
      <c r="J40" s="93">
        <v>0</v>
      </c>
      <c r="K40" s="93">
        <v>0</v>
      </c>
      <c r="L40" s="93">
        <v>0</v>
      </c>
      <c r="M40" s="93">
        <v>0</v>
      </c>
      <c r="N40" s="93">
        <v>0</v>
      </c>
      <c r="O40" s="93">
        <v>0</v>
      </c>
      <c r="P40" s="93">
        <f t="shared" si="10"/>
        <v>0</v>
      </c>
      <c r="Q40" s="93">
        <v>0</v>
      </c>
      <c r="R40" s="93">
        <v>0</v>
      </c>
      <c r="S40" s="93">
        <v>0</v>
      </c>
      <c r="T40" s="93">
        <v>0</v>
      </c>
      <c r="U40" s="93">
        <v>0</v>
      </c>
      <c r="V40" s="93">
        <v>0</v>
      </c>
      <c r="W40" s="93">
        <v>0</v>
      </c>
      <c r="X40" s="93">
        <v>0</v>
      </c>
      <c r="Y40" s="93">
        <v>0</v>
      </c>
      <c r="Z40" s="93">
        <v>0</v>
      </c>
      <c r="AA40" s="93">
        <v>0</v>
      </c>
      <c r="AB40" s="95">
        <f t="shared" si="5"/>
        <v>0</v>
      </c>
      <c r="AC40" s="95">
        <f t="shared" si="7"/>
        <v>0</v>
      </c>
    </row>
    <row r="41" spans="1:29" x14ac:dyDescent="0.25">
      <c r="A41" s="40" t="s">
        <v>151</v>
      </c>
      <c r="B41" s="24" t="s">
        <v>137</v>
      </c>
      <c r="C41" s="91">
        <v>0</v>
      </c>
      <c r="D41" s="91">
        <v>0</v>
      </c>
      <c r="E41" s="91">
        <v>0</v>
      </c>
      <c r="F41" s="91">
        <v>0</v>
      </c>
      <c r="G41" s="93">
        <v>0</v>
      </c>
      <c r="H41" s="93">
        <v>0</v>
      </c>
      <c r="I41" s="93">
        <v>0</v>
      </c>
      <c r="J41" s="93">
        <v>0</v>
      </c>
      <c r="K41" s="93">
        <v>0</v>
      </c>
      <c r="L41" s="93">
        <v>0</v>
      </c>
      <c r="M41" s="93">
        <v>0</v>
      </c>
      <c r="N41" s="93">
        <v>0</v>
      </c>
      <c r="O41" s="93">
        <v>0</v>
      </c>
      <c r="P41" s="93">
        <f t="shared" si="10"/>
        <v>0</v>
      </c>
      <c r="Q41" s="93">
        <v>0</v>
      </c>
      <c r="R41" s="93">
        <v>0</v>
      </c>
      <c r="S41" s="93">
        <v>0</v>
      </c>
      <c r="T41" s="93">
        <v>0</v>
      </c>
      <c r="U41" s="93">
        <v>0</v>
      </c>
      <c r="V41" s="93">
        <v>0</v>
      </c>
      <c r="W41" s="93">
        <v>0</v>
      </c>
      <c r="X41" s="93">
        <v>0</v>
      </c>
      <c r="Y41" s="93">
        <v>0</v>
      </c>
      <c r="Z41" s="93">
        <v>0</v>
      </c>
      <c r="AA41" s="93">
        <v>0</v>
      </c>
      <c r="AB41" s="95">
        <f t="shared" si="5"/>
        <v>0</v>
      </c>
      <c r="AC41" s="95">
        <f t="shared" si="7"/>
        <v>0</v>
      </c>
    </row>
    <row r="42" spans="1:29" ht="18.75" x14ac:dyDescent="0.25">
      <c r="A42" s="40" t="s">
        <v>150</v>
      </c>
      <c r="B42" s="39" t="s">
        <v>531</v>
      </c>
      <c r="C42" s="91">
        <v>34</v>
      </c>
      <c r="D42" s="91">
        <v>0</v>
      </c>
      <c r="E42" s="91">
        <v>34</v>
      </c>
      <c r="F42" s="91">
        <v>34</v>
      </c>
      <c r="G42" s="93">
        <v>0</v>
      </c>
      <c r="H42" s="93">
        <v>0</v>
      </c>
      <c r="I42" s="93">
        <v>0</v>
      </c>
      <c r="J42" s="93">
        <v>0</v>
      </c>
      <c r="K42" s="93">
        <v>0</v>
      </c>
      <c r="L42" s="93">
        <v>0</v>
      </c>
      <c r="M42" s="93">
        <v>0</v>
      </c>
      <c r="N42" s="93">
        <v>0</v>
      </c>
      <c r="O42" s="93">
        <v>0</v>
      </c>
      <c r="P42" s="93">
        <f t="shared" si="10"/>
        <v>34</v>
      </c>
      <c r="Q42" s="93">
        <v>0</v>
      </c>
      <c r="R42" s="93">
        <v>0</v>
      </c>
      <c r="S42" s="93">
        <v>0</v>
      </c>
      <c r="T42" s="93">
        <v>0</v>
      </c>
      <c r="U42" s="93">
        <v>0</v>
      </c>
      <c r="V42" s="93">
        <v>0</v>
      </c>
      <c r="W42" s="93">
        <v>0</v>
      </c>
      <c r="X42" s="93">
        <v>0</v>
      </c>
      <c r="Y42" s="93">
        <v>0</v>
      </c>
      <c r="Z42" s="93">
        <v>0</v>
      </c>
      <c r="AA42" s="93">
        <v>0</v>
      </c>
      <c r="AB42" s="95">
        <f t="shared" si="5"/>
        <v>34</v>
      </c>
      <c r="AC42" s="95">
        <f t="shared" si="7"/>
        <v>0</v>
      </c>
    </row>
    <row r="43" spans="1:29" x14ac:dyDescent="0.25">
      <c r="A43" s="43" t="s">
        <v>59</v>
      </c>
      <c r="B43" s="42" t="s">
        <v>149</v>
      </c>
      <c r="C43" s="91">
        <v>0</v>
      </c>
      <c r="D43" s="91">
        <v>0</v>
      </c>
      <c r="E43" s="91">
        <v>0</v>
      </c>
      <c r="F43" s="91">
        <v>0</v>
      </c>
      <c r="G43" s="91">
        <v>0</v>
      </c>
      <c r="H43" s="91">
        <v>0</v>
      </c>
      <c r="I43" s="91">
        <v>0</v>
      </c>
      <c r="J43" s="91">
        <v>0</v>
      </c>
      <c r="K43" s="91">
        <v>0</v>
      </c>
      <c r="L43" s="91">
        <v>0</v>
      </c>
      <c r="M43" s="91">
        <v>0</v>
      </c>
      <c r="N43" s="91">
        <v>0</v>
      </c>
      <c r="O43" s="91">
        <v>0</v>
      </c>
      <c r="P43" s="91">
        <v>0</v>
      </c>
      <c r="Q43" s="91">
        <v>0</v>
      </c>
      <c r="R43" s="91">
        <v>0</v>
      </c>
      <c r="S43" s="91">
        <v>0</v>
      </c>
      <c r="T43" s="91">
        <v>0</v>
      </c>
      <c r="U43" s="91">
        <v>0</v>
      </c>
      <c r="V43" s="91">
        <v>0</v>
      </c>
      <c r="W43" s="91">
        <v>0</v>
      </c>
      <c r="X43" s="91">
        <v>0</v>
      </c>
      <c r="Y43" s="91">
        <v>0</v>
      </c>
      <c r="Z43" s="91">
        <v>0</v>
      </c>
      <c r="AA43" s="91">
        <v>0</v>
      </c>
      <c r="AB43" s="95">
        <f t="shared" si="5"/>
        <v>0</v>
      </c>
      <c r="AC43" s="95">
        <f t="shared" si="7"/>
        <v>0</v>
      </c>
    </row>
    <row r="44" spans="1:29" x14ac:dyDescent="0.25">
      <c r="A44" s="40" t="s">
        <v>148</v>
      </c>
      <c r="B44" s="24" t="s">
        <v>147</v>
      </c>
      <c r="C44" s="91">
        <v>0</v>
      </c>
      <c r="D44" s="91">
        <v>0</v>
      </c>
      <c r="E44" s="91">
        <v>0</v>
      </c>
      <c r="F44" s="91">
        <v>0</v>
      </c>
      <c r="G44" s="93">
        <v>0</v>
      </c>
      <c r="H44" s="93">
        <v>0</v>
      </c>
      <c r="I44" s="93">
        <v>0</v>
      </c>
      <c r="J44" s="93">
        <v>0</v>
      </c>
      <c r="K44" s="93">
        <v>0</v>
      </c>
      <c r="L44" s="93">
        <v>0</v>
      </c>
      <c r="M44" s="93">
        <v>0</v>
      </c>
      <c r="N44" s="93">
        <v>0</v>
      </c>
      <c r="O44" s="93">
        <v>0</v>
      </c>
      <c r="P44" s="93">
        <f t="shared" ref="P44:P50" si="11">F44</f>
        <v>0</v>
      </c>
      <c r="Q44" s="93">
        <v>0</v>
      </c>
      <c r="R44" s="93">
        <v>0</v>
      </c>
      <c r="S44" s="93">
        <v>0</v>
      </c>
      <c r="T44" s="93">
        <v>0</v>
      </c>
      <c r="U44" s="93">
        <v>0</v>
      </c>
      <c r="V44" s="93">
        <v>0</v>
      </c>
      <c r="W44" s="93">
        <v>0</v>
      </c>
      <c r="X44" s="93">
        <v>0</v>
      </c>
      <c r="Y44" s="93">
        <v>0</v>
      </c>
      <c r="Z44" s="93">
        <v>0</v>
      </c>
      <c r="AA44" s="93">
        <v>0</v>
      </c>
      <c r="AB44" s="95">
        <f t="shared" si="5"/>
        <v>0</v>
      </c>
      <c r="AC44" s="95">
        <f t="shared" si="7"/>
        <v>0</v>
      </c>
    </row>
    <row r="45" spans="1:29" x14ac:dyDescent="0.25">
      <c r="A45" s="40" t="s">
        <v>146</v>
      </c>
      <c r="B45" s="24" t="s">
        <v>145</v>
      </c>
      <c r="C45" s="91">
        <f>C37</f>
        <v>80</v>
      </c>
      <c r="D45" s="91">
        <v>0</v>
      </c>
      <c r="E45" s="91">
        <f>C45</f>
        <v>80</v>
      </c>
      <c r="F45" s="91">
        <f>E45-G45-H45</f>
        <v>80</v>
      </c>
      <c r="G45" s="93">
        <v>0</v>
      </c>
      <c r="H45" s="93">
        <v>0</v>
      </c>
      <c r="I45" s="93">
        <v>0</v>
      </c>
      <c r="J45" s="93">
        <v>0</v>
      </c>
      <c r="K45" s="93">
        <v>0</v>
      </c>
      <c r="L45" s="93">
        <v>0</v>
      </c>
      <c r="M45" s="93">
        <v>0</v>
      </c>
      <c r="N45" s="93">
        <v>0</v>
      </c>
      <c r="O45" s="93">
        <v>0</v>
      </c>
      <c r="P45" s="93">
        <f t="shared" si="11"/>
        <v>80</v>
      </c>
      <c r="Q45" s="93">
        <v>0</v>
      </c>
      <c r="R45" s="93">
        <v>0</v>
      </c>
      <c r="S45" s="93">
        <v>0</v>
      </c>
      <c r="T45" s="93">
        <v>0</v>
      </c>
      <c r="U45" s="93">
        <v>0</v>
      </c>
      <c r="V45" s="93">
        <v>0</v>
      </c>
      <c r="W45" s="93">
        <v>0</v>
      </c>
      <c r="X45" s="93">
        <v>0</v>
      </c>
      <c r="Y45" s="93">
        <v>0</v>
      </c>
      <c r="Z45" s="93">
        <v>0</v>
      </c>
      <c r="AA45" s="93">
        <v>0</v>
      </c>
      <c r="AB45" s="95">
        <f t="shared" si="5"/>
        <v>80</v>
      </c>
      <c r="AC45" s="95">
        <f t="shared" si="7"/>
        <v>0</v>
      </c>
    </row>
    <row r="46" spans="1:29" x14ac:dyDescent="0.25">
      <c r="A46" s="40" t="s">
        <v>144</v>
      </c>
      <c r="B46" s="24" t="s">
        <v>143</v>
      </c>
      <c r="C46" s="91">
        <v>0</v>
      </c>
      <c r="D46" s="91">
        <v>0</v>
      </c>
      <c r="E46" s="91">
        <v>0</v>
      </c>
      <c r="F46" s="91">
        <v>0</v>
      </c>
      <c r="G46" s="93">
        <v>0</v>
      </c>
      <c r="H46" s="93">
        <v>0</v>
      </c>
      <c r="I46" s="93">
        <v>0</v>
      </c>
      <c r="J46" s="93">
        <v>0</v>
      </c>
      <c r="K46" s="93">
        <v>0</v>
      </c>
      <c r="L46" s="93">
        <v>0</v>
      </c>
      <c r="M46" s="93">
        <v>0</v>
      </c>
      <c r="N46" s="93">
        <v>0</v>
      </c>
      <c r="O46" s="93">
        <v>0</v>
      </c>
      <c r="P46" s="93">
        <f t="shared" si="11"/>
        <v>0</v>
      </c>
      <c r="Q46" s="93">
        <v>0</v>
      </c>
      <c r="R46" s="93">
        <v>0</v>
      </c>
      <c r="S46" s="93">
        <v>0</v>
      </c>
      <c r="T46" s="93">
        <v>0</v>
      </c>
      <c r="U46" s="93">
        <v>0</v>
      </c>
      <c r="V46" s="93">
        <v>0</v>
      </c>
      <c r="W46" s="93">
        <v>0</v>
      </c>
      <c r="X46" s="93">
        <v>0</v>
      </c>
      <c r="Y46" s="93">
        <v>0</v>
      </c>
      <c r="Z46" s="93">
        <v>0</v>
      </c>
      <c r="AA46" s="93">
        <v>0</v>
      </c>
      <c r="AB46" s="95">
        <f t="shared" si="5"/>
        <v>0</v>
      </c>
      <c r="AC46" s="95">
        <f t="shared" si="7"/>
        <v>0</v>
      </c>
    </row>
    <row r="47" spans="1:29" ht="31.5" x14ac:dyDescent="0.25">
      <c r="A47" s="40" t="s">
        <v>142</v>
      </c>
      <c r="B47" s="24" t="s">
        <v>141</v>
      </c>
      <c r="C47" s="91">
        <v>0</v>
      </c>
      <c r="D47" s="91">
        <v>0</v>
      </c>
      <c r="E47" s="91">
        <v>0</v>
      </c>
      <c r="F47" s="91">
        <v>0</v>
      </c>
      <c r="G47" s="93">
        <v>0</v>
      </c>
      <c r="H47" s="93">
        <v>0</v>
      </c>
      <c r="I47" s="93">
        <v>0</v>
      </c>
      <c r="J47" s="93">
        <v>0</v>
      </c>
      <c r="K47" s="93">
        <v>0</v>
      </c>
      <c r="L47" s="93">
        <v>0</v>
      </c>
      <c r="M47" s="93">
        <v>0</v>
      </c>
      <c r="N47" s="93">
        <v>0</v>
      </c>
      <c r="O47" s="93">
        <v>0</v>
      </c>
      <c r="P47" s="93">
        <f t="shared" si="11"/>
        <v>0</v>
      </c>
      <c r="Q47" s="93">
        <v>0</v>
      </c>
      <c r="R47" s="93">
        <v>0</v>
      </c>
      <c r="S47" s="93">
        <v>0</v>
      </c>
      <c r="T47" s="93">
        <v>0</v>
      </c>
      <c r="U47" s="93">
        <v>0</v>
      </c>
      <c r="V47" s="93">
        <v>0</v>
      </c>
      <c r="W47" s="93">
        <v>0</v>
      </c>
      <c r="X47" s="93">
        <v>0</v>
      </c>
      <c r="Y47" s="93">
        <v>0</v>
      </c>
      <c r="Z47" s="93">
        <v>0</v>
      </c>
      <c r="AA47" s="93">
        <v>0</v>
      </c>
      <c r="AB47" s="95">
        <f t="shared" si="5"/>
        <v>0</v>
      </c>
      <c r="AC47" s="95">
        <f t="shared" si="7"/>
        <v>0</v>
      </c>
    </row>
    <row r="48" spans="1:29" ht="31.5" x14ac:dyDescent="0.25">
      <c r="A48" s="40" t="s">
        <v>140</v>
      </c>
      <c r="B48" s="24" t="s">
        <v>139</v>
      </c>
      <c r="C48" s="91">
        <v>0</v>
      </c>
      <c r="D48" s="91">
        <v>0</v>
      </c>
      <c r="E48" s="91">
        <v>0</v>
      </c>
      <c r="F48" s="91">
        <v>0</v>
      </c>
      <c r="G48" s="93">
        <v>0</v>
      </c>
      <c r="H48" s="93">
        <v>0</v>
      </c>
      <c r="I48" s="93">
        <v>0</v>
      </c>
      <c r="J48" s="93">
        <v>0</v>
      </c>
      <c r="K48" s="93">
        <v>0</v>
      </c>
      <c r="L48" s="93">
        <v>0</v>
      </c>
      <c r="M48" s="93">
        <v>0</v>
      </c>
      <c r="N48" s="93">
        <v>0</v>
      </c>
      <c r="O48" s="93">
        <v>0</v>
      </c>
      <c r="P48" s="93">
        <f t="shared" si="11"/>
        <v>0</v>
      </c>
      <c r="Q48" s="93">
        <v>0</v>
      </c>
      <c r="R48" s="93">
        <v>0</v>
      </c>
      <c r="S48" s="93">
        <v>0</v>
      </c>
      <c r="T48" s="93">
        <v>0</v>
      </c>
      <c r="U48" s="93">
        <v>0</v>
      </c>
      <c r="V48" s="93">
        <v>0</v>
      </c>
      <c r="W48" s="93">
        <v>0</v>
      </c>
      <c r="X48" s="93">
        <v>0</v>
      </c>
      <c r="Y48" s="93">
        <v>0</v>
      </c>
      <c r="Z48" s="93">
        <v>0</v>
      </c>
      <c r="AA48" s="93">
        <v>0</v>
      </c>
      <c r="AB48" s="95">
        <f t="shared" si="5"/>
        <v>0</v>
      </c>
      <c r="AC48" s="95">
        <f t="shared" si="7"/>
        <v>0</v>
      </c>
    </row>
    <row r="49" spans="1:29" x14ac:dyDescent="0.25">
      <c r="A49" s="40" t="s">
        <v>138</v>
      </c>
      <c r="B49" s="24" t="s">
        <v>137</v>
      </c>
      <c r="C49" s="91">
        <v>0</v>
      </c>
      <c r="D49" s="91">
        <v>0</v>
      </c>
      <c r="E49" s="91">
        <v>0</v>
      </c>
      <c r="F49" s="91">
        <v>0</v>
      </c>
      <c r="G49" s="93">
        <v>0</v>
      </c>
      <c r="H49" s="93">
        <v>0</v>
      </c>
      <c r="I49" s="93">
        <v>0</v>
      </c>
      <c r="J49" s="93">
        <v>0</v>
      </c>
      <c r="K49" s="93">
        <v>0</v>
      </c>
      <c r="L49" s="93">
        <v>0</v>
      </c>
      <c r="M49" s="93">
        <v>0</v>
      </c>
      <c r="N49" s="93">
        <v>0</v>
      </c>
      <c r="O49" s="93">
        <v>0</v>
      </c>
      <c r="P49" s="93">
        <f t="shared" si="11"/>
        <v>0</v>
      </c>
      <c r="Q49" s="93">
        <v>0</v>
      </c>
      <c r="R49" s="93">
        <v>0</v>
      </c>
      <c r="S49" s="93">
        <v>0</v>
      </c>
      <c r="T49" s="93">
        <v>0</v>
      </c>
      <c r="U49" s="93">
        <v>0</v>
      </c>
      <c r="V49" s="93">
        <v>0</v>
      </c>
      <c r="W49" s="93">
        <v>0</v>
      </c>
      <c r="X49" s="93">
        <v>0</v>
      </c>
      <c r="Y49" s="93">
        <v>0</v>
      </c>
      <c r="Z49" s="93">
        <v>0</v>
      </c>
      <c r="AA49" s="93">
        <v>0</v>
      </c>
      <c r="AB49" s="95">
        <f t="shared" si="5"/>
        <v>0</v>
      </c>
      <c r="AC49" s="95">
        <f t="shared" si="7"/>
        <v>0</v>
      </c>
    </row>
    <row r="50" spans="1:29" ht="18.75" x14ac:dyDescent="0.25">
      <c r="A50" s="40" t="s">
        <v>136</v>
      </c>
      <c r="B50" s="39" t="s">
        <v>531</v>
      </c>
      <c r="C50" s="91">
        <v>34</v>
      </c>
      <c r="D50" s="91">
        <v>0</v>
      </c>
      <c r="E50" s="91">
        <v>34</v>
      </c>
      <c r="F50" s="91">
        <v>34</v>
      </c>
      <c r="G50" s="93">
        <v>0</v>
      </c>
      <c r="H50" s="93">
        <v>0</v>
      </c>
      <c r="I50" s="93">
        <v>0</v>
      </c>
      <c r="J50" s="93">
        <v>0</v>
      </c>
      <c r="K50" s="93">
        <v>0</v>
      </c>
      <c r="L50" s="93">
        <v>0</v>
      </c>
      <c r="M50" s="93">
        <v>0</v>
      </c>
      <c r="N50" s="93">
        <v>0</v>
      </c>
      <c r="O50" s="93">
        <v>0</v>
      </c>
      <c r="P50" s="93">
        <f t="shared" si="11"/>
        <v>34</v>
      </c>
      <c r="Q50" s="93">
        <v>0</v>
      </c>
      <c r="R50" s="93">
        <v>0</v>
      </c>
      <c r="S50" s="93">
        <v>0</v>
      </c>
      <c r="T50" s="93">
        <v>0</v>
      </c>
      <c r="U50" s="93">
        <v>0</v>
      </c>
      <c r="V50" s="93">
        <v>0</v>
      </c>
      <c r="W50" s="93">
        <v>0</v>
      </c>
      <c r="X50" s="93">
        <v>0</v>
      </c>
      <c r="Y50" s="93">
        <v>0</v>
      </c>
      <c r="Z50" s="93">
        <v>0</v>
      </c>
      <c r="AA50" s="93">
        <v>0</v>
      </c>
      <c r="AB50" s="95">
        <f t="shared" si="5"/>
        <v>34</v>
      </c>
      <c r="AC50" s="95">
        <f t="shared" si="7"/>
        <v>0</v>
      </c>
    </row>
    <row r="51" spans="1:29" ht="35.25" customHeight="1" x14ac:dyDescent="0.25">
      <c r="A51" s="43" t="s">
        <v>57</v>
      </c>
      <c r="B51" s="42" t="s">
        <v>135</v>
      </c>
      <c r="C51" s="91">
        <v>0</v>
      </c>
      <c r="D51" s="91">
        <v>0</v>
      </c>
      <c r="E51" s="91">
        <v>0</v>
      </c>
      <c r="F51" s="91">
        <v>0</v>
      </c>
      <c r="G51" s="91">
        <v>0</v>
      </c>
      <c r="H51" s="91">
        <v>0</v>
      </c>
      <c r="I51" s="91">
        <v>0</v>
      </c>
      <c r="J51" s="91">
        <v>0</v>
      </c>
      <c r="K51" s="91">
        <v>0</v>
      </c>
      <c r="L51" s="91">
        <v>0</v>
      </c>
      <c r="M51" s="91">
        <v>0</v>
      </c>
      <c r="N51" s="91">
        <v>0</v>
      </c>
      <c r="O51" s="91">
        <v>0</v>
      </c>
      <c r="P51" s="91">
        <v>0</v>
      </c>
      <c r="Q51" s="91">
        <v>0</v>
      </c>
      <c r="R51" s="91">
        <v>0</v>
      </c>
      <c r="S51" s="91">
        <v>0</v>
      </c>
      <c r="T51" s="91">
        <v>0</v>
      </c>
      <c r="U51" s="91">
        <v>0</v>
      </c>
      <c r="V51" s="91">
        <v>0</v>
      </c>
      <c r="W51" s="91">
        <v>0</v>
      </c>
      <c r="X51" s="91">
        <v>0</v>
      </c>
      <c r="Y51" s="91">
        <v>0</v>
      </c>
      <c r="Z51" s="91">
        <v>0</v>
      </c>
      <c r="AA51" s="91">
        <v>0</v>
      </c>
      <c r="AB51" s="95">
        <f t="shared" si="5"/>
        <v>0</v>
      </c>
      <c r="AC51" s="95">
        <f t="shared" si="7"/>
        <v>0</v>
      </c>
    </row>
    <row r="52" spans="1:29" x14ac:dyDescent="0.25">
      <c r="A52" s="40" t="s">
        <v>134</v>
      </c>
      <c r="B52" s="24" t="s">
        <v>133</v>
      </c>
      <c r="C52" s="91">
        <f>C30</f>
        <v>249.60219762390051</v>
      </c>
      <c r="D52" s="91">
        <v>0</v>
      </c>
      <c r="E52" s="91">
        <f>C52</f>
        <v>249.60219762390051</v>
      </c>
      <c r="F52" s="91">
        <f>E52-G52-H52</f>
        <v>249.60219762390051</v>
      </c>
      <c r="G52" s="93">
        <v>0</v>
      </c>
      <c r="H52" s="93">
        <v>0</v>
      </c>
      <c r="I52" s="93">
        <v>0</v>
      </c>
      <c r="J52" s="93">
        <v>0</v>
      </c>
      <c r="K52" s="93">
        <v>0</v>
      </c>
      <c r="L52" s="93">
        <v>0</v>
      </c>
      <c r="M52" s="93">
        <v>0</v>
      </c>
      <c r="N52" s="93">
        <v>0</v>
      </c>
      <c r="O52" s="93">
        <v>0</v>
      </c>
      <c r="P52" s="93">
        <f t="shared" ref="P52:P57" si="12">F52</f>
        <v>249.60219762390051</v>
      </c>
      <c r="Q52" s="93">
        <v>0</v>
      </c>
      <c r="R52" s="93">
        <v>0</v>
      </c>
      <c r="S52" s="93">
        <v>0</v>
      </c>
      <c r="T52" s="93">
        <v>0</v>
      </c>
      <c r="U52" s="93">
        <v>0</v>
      </c>
      <c r="V52" s="93">
        <v>0</v>
      </c>
      <c r="W52" s="93">
        <v>0</v>
      </c>
      <c r="X52" s="93">
        <v>0</v>
      </c>
      <c r="Y52" s="93">
        <v>0</v>
      </c>
      <c r="Z52" s="93">
        <v>0</v>
      </c>
      <c r="AA52" s="93">
        <v>0</v>
      </c>
      <c r="AB52" s="95">
        <f t="shared" si="5"/>
        <v>249.60219762390051</v>
      </c>
      <c r="AC52" s="95">
        <f t="shared" si="7"/>
        <v>0</v>
      </c>
    </row>
    <row r="53" spans="1:29" x14ac:dyDescent="0.25">
      <c r="A53" s="40" t="s">
        <v>132</v>
      </c>
      <c r="B53" s="24" t="s">
        <v>126</v>
      </c>
      <c r="C53" s="91">
        <v>0</v>
      </c>
      <c r="D53" s="91">
        <v>0</v>
      </c>
      <c r="E53" s="91">
        <f>C53</f>
        <v>0</v>
      </c>
      <c r="F53" s="91">
        <f>E53-G53-H53</f>
        <v>0</v>
      </c>
      <c r="G53" s="93">
        <v>0</v>
      </c>
      <c r="H53" s="93">
        <v>0</v>
      </c>
      <c r="I53" s="93">
        <v>0</v>
      </c>
      <c r="J53" s="93">
        <v>0</v>
      </c>
      <c r="K53" s="93">
        <v>0</v>
      </c>
      <c r="L53" s="93">
        <v>0</v>
      </c>
      <c r="M53" s="93">
        <v>0</v>
      </c>
      <c r="N53" s="93">
        <v>0</v>
      </c>
      <c r="O53" s="93">
        <v>0</v>
      </c>
      <c r="P53" s="93">
        <f t="shared" si="12"/>
        <v>0</v>
      </c>
      <c r="Q53" s="93">
        <v>0</v>
      </c>
      <c r="R53" s="93">
        <v>0</v>
      </c>
      <c r="S53" s="93">
        <v>0</v>
      </c>
      <c r="T53" s="93">
        <v>0</v>
      </c>
      <c r="U53" s="93">
        <v>0</v>
      </c>
      <c r="V53" s="93">
        <v>0</v>
      </c>
      <c r="W53" s="93">
        <v>0</v>
      </c>
      <c r="X53" s="93">
        <v>0</v>
      </c>
      <c r="Y53" s="93">
        <v>0</v>
      </c>
      <c r="Z53" s="93">
        <v>0</v>
      </c>
      <c r="AA53" s="93">
        <v>0</v>
      </c>
      <c r="AB53" s="95">
        <f t="shared" si="5"/>
        <v>0</v>
      </c>
      <c r="AC53" s="95">
        <f t="shared" si="7"/>
        <v>0</v>
      </c>
    </row>
    <row r="54" spans="1:29" x14ac:dyDescent="0.25">
      <c r="A54" s="40" t="s">
        <v>131</v>
      </c>
      <c r="B54" s="39" t="s">
        <v>125</v>
      </c>
      <c r="C54" s="91">
        <f>C45</f>
        <v>80</v>
      </c>
      <c r="D54" s="91">
        <v>0</v>
      </c>
      <c r="E54" s="91">
        <f>C54</f>
        <v>80</v>
      </c>
      <c r="F54" s="91">
        <f>E54-G54-H54</f>
        <v>80</v>
      </c>
      <c r="G54" s="93">
        <v>0</v>
      </c>
      <c r="H54" s="93">
        <v>0</v>
      </c>
      <c r="I54" s="93">
        <v>0</v>
      </c>
      <c r="J54" s="93">
        <v>0</v>
      </c>
      <c r="K54" s="93">
        <v>0</v>
      </c>
      <c r="L54" s="93">
        <v>0</v>
      </c>
      <c r="M54" s="93">
        <v>0</v>
      </c>
      <c r="N54" s="93">
        <v>0</v>
      </c>
      <c r="O54" s="93">
        <v>0</v>
      </c>
      <c r="P54" s="93">
        <f t="shared" si="12"/>
        <v>80</v>
      </c>
      <c r="Q54" s="93">
        <v>0</v>
      </c>
      <c r="R54" s="93">
        <v>0</v>
      </c>
      <c r="S54" s="93">
        <v>0</v>
      </c>
      <c r="T54" s="93">
        <v>0</v>
      </c>
      <c r="U54" s="93">
        <v>0</v>
      </c>
      <c r="V54" s="93">
        <v>0</v>
      </c>
      <c r="W54" s="93">
        <v>0</v>
      </c>
      <c r="X54" s="93">
        <v>0</v>
      </c>
      <c r="Y54" s="93">
        <v>0</v>
      </c>
      <c r="Z54" s="93">
        <v>0</v>
      </c>
      <c r="AA54" s="93">
        <v>0</v>
      </c>
      <c r="AB54" s="95">
        <f t="shared" si="5"/>
        <v>80</v>
      </c>
      <c r="AC54" s="95">
        <f t="shared" si="7"/>
        <v>0</v>
      </c>
    </row>
    <row r="55" spans="1:29" x14ac:dyDescent="0.25">
      <c r="A55" s="40" t="s">
        <v>130</v>
      </c>
      <c r="B55" s="39" t="s">
        <v>124</v>
      </c>
      <c r="C55" s="91">
        <v>0</v>
      </c>
      <c r="D55" s="91">
        <v>0</v>
      </c>
      <c r="E55" s="91">
        <v>0</v>
      </c>
      <c r="F55" s="91">
        <v>0</v>
      </c>
      <c r="G55" s="93">
        <v>0</v>
      </c>
      <c r="H55" s="93">
        <v>0</v>
      </c>
      <c r="I55" s="93">
        <v>0</v>
      </c>
      <c r="J55" s="93">
        <v>0</v>
      </c>
      <c r="K55" s="93">
        <v>0</v>
      </c>
      <c r="L55" s="93">
        <v>0</v>
      </c>
      <c r="M55" s="93">
        <v>0</v>
      </c>
      <c r="N55" s="93">
        <v>0</v>
      </c>
      <c r="O55" s="93">
        <v>0</v>
      </c>
      <c r="P55" s="93">
        <f t="shared" si="12"/>
        <v>0</v>
      </c>
      <c r="Q55" s="93">
        <v>0</v>
      </c>
      <c r="R55" s="93">
        <v>0</v>
      </c>
      <c r="S55" s="93">
        <v>0</v>
      </c>
      <c r="T55" s="93">
        <v>0</v>
      </c>
      <c r="U55" s="93">
        <v>0</v>
      </c>
      <c r="V55" s="93">
        <v>0</v>
      </c>
      <c r="W55" s="93">
        <v>0</v>
      </c>
      <c r="X55" s="93">
        <v>0</v>
      </c>
      <c r="Y55" s="93">
        <v>0</v>
      </c>
      <c r="Z55" s="93">
        <v>0</v>
      </c>
      <c r="AA55" s="93">
        <v>0</v>
      </c>
      <c r="AB55" s="95">
        <f t="shared" si="5"/>
        <v>0</v>
      </c>
      <c r="AC55" s="95">
        <f t="shared" si="7"/>
        <v>0</v>
      </c>
    </row>
    <row r="56" spans="1:29" x14ac:dyDescent="0.25">
      <c r="A56" s="40" t="s">
        <v>129</v>
      </c>
      <c r="B56" s="39" t="s">
        <v>123</v>
      </c>
      <c r="C56" s="91">
        <v>0</v>
      </c>
      <c r="D56" s="91">
        <v>0</v>
      </c>
      <c r="E56" s="91">
        <v>0</v>
      </c>
      <c r="F56" s="91">
        <v>0</v>
      </c>
      <c r="G56" s="93">
        <v>0</v>
      </c>
      <c r="H56" s="93">
        <v>0</v>
      </c>
      <c r="I56" s="93">
        <v>0</v>
      </c>
      <c r="J56" s="93">
        <v>0</v>
      </c>
      <c r="K56" s="93">
        <v>0</v>
      </c>
      <c r="L56" s="93">
        <v>0</v>
      </c>
      <c r="M56" s="93">
        <v>0</v>
      </c>
      <c r="N56" s="93">
        <v>0</v>
      </c>
      <c r="O56" s="93">
        <v>0</v>
      </c>
      <c r="P56" s="93">
        <f t="shared" si="12"/>
        <v>0</v>
      </c>
      <c r="Q56" s="93">
        <v>0</v>
      </c>
      <c r="R56" s="93">
        <v>0</v>
      </c>
      <c r="S56" s="93">
        <v>0</v>
      </c>
      <c r="T56" s="93">
        <v>0</v>
      </c>
      <c r="U56" s="93">
        <v>0</v>
      </c>
      <c r="V56" s="93">
        <v>0</v>
      </c>
      <c r="W56" s="93">
        <v>0</v>
      </c>
      <c r="X56" s="93">
        <v>0</v>
      </c>
      <c r="Y56" s="93">
        <v>0</v>
      </c>
      <c r="Z56" s="93">
        <v>0</v>
      </c>
      <c r="AA56" s="93">
        <v>0</v>
      </c>
      <c r="AB56" s="95">
        <f t="shared" si="5"/>
        <v>0</v>
      </c>
      <c r="AC56" s="95">
        <f t="shared" si="7"/>
        <v>0</v>
      </c>
    </row>
    <row r="57" spans="1:29" ht="18.75" x14ac:dyDescent="0.25">
      <c r="A57" s="40" t="s">
        <v>128</v>
      </c>
      <c r="B57" s="39" t="s">
        <v>531</v>
      </c>
      <c r="C57" s="91">
        <v>34</v>
      </c>
      <c r="D57" s="91">
        <v>0</v>
      </c>
      <c r="E57" s="91">
        <v>34</v>
      </c>
      <c r="F57" s="91">
        <v>34</v>
      </c>
      <c r="G57" s="93">
        <v>0</v>
      </c>
      <c r="H57" s="93">
        <v>0</v>
      </c>
      <c r="I57" s="93">
        <v>0</v>
      </c>
      <c r="J57" s="93">
        <v>0</v>
      </c>
      <c r="K57" s="93">
        <v>0</v>
      </c>
      <c r="L57" s="93">
        <v>0</v>
      </c>
      <c r="M57" s="93">
        <v>0</v>
      </c>
      <c r="N57" s="93">
        <v>0</v>
      </c>
      <c r="O57" s="93">
        <v>0</v>
      </c>
      <c r="P57" s="93">
        <f t="shared" si="12"/>
        <v>34</v>
      </c>
      <c r="Q57" s="93">
        <v>0</v>
      </c>
      <c r="R57" s="93">
        <v>0</v>
      </c>
      <c r="S57" s="93">
        <v>0</v>
      </c>
      <c r="T57" s="93">
        <v>0</v>
      </c>
      <c r="U57" s="93">
        <v>0</v>
      </c>
      <c r="V57" s="93">
        <v>0</v>
      </c>
      <c r="W57" s="93">
        <v>0</v>
      </c>
      <c r="X57" s="93">
        <v>0</v>
      </c>
      <c r="Y57" s="93">
        <v>0</v>
      </c>
      <c r="Z57" s="93">
        <v>0</v>
      </c>
      <c r="AA57" s="93">
        <v>0</v>
      </c>
      <c r="AB57" s="95">
        <f t="shared" si="5"/>
        <v>34</v>
      </c>
      <c r="AC57" s="95">
        <f t="shared" si="7"/>
        <v>0</v>
      </c>
    </row>
    <row r="58" spans="1:29" ht="36.75" customHeight="1" x14ac:dyDescent="0.25">
      <c r="A58" s="43" t="s">
        <v>56</v>
      </c>
      <c r="B58" s="52" t="s">
        <v>207</v>
      </c>
      <c r="C58" s="91">
        <v>0</v>
      </c>
      <c r="D58" s="91">
        <v>0</v>
      </c>
      <c r="E58" s="91">
        <v>0</v>
      </c>
      <c r="F58" s="91">
        <v>0</v>
      </c>
      <c r="G58" s="91">
        <v>0</v>
      </c>
      <c r="H58" s="91">
        <v>0</v>
      </c>
      <c r="I58" s="91">
        <v>0</v>
      </c>
      <c r="J58" s="91">
        <v>0</v>
      </c>
      <c r="K58" s="91">
        <v>0</v>
      </c>
      <c r="L58" s="91">
        <v>0</v>
      </c>
      <c r="M58" s="91">
        <v>0</v>
      </c>
      <c r="N58" s="91">
        <v>0</v>
      </c>
      <c r="O58" s="91">
        <v>0</v>
      </c>
      <c r="P58" s="91">
        <v>0</v>
      </c>
      <c r="Q58" s="91">
        <v>0</v>
      </c>
      <c r="R58" s="91">
        <v>0</v>
      </c>
      <c r="S58" s="91">
        <v>0</v>
      </c>
      <c r="T58" s="91">
        <v>0</v>
      </c>
      <c r="U58" s="91">
        <v>0</v>
      </c>
      <c r="V58" s="91">
        <v>0</v>
      </c>
      <c r="W58" s="91">
        <v>0</v>
      </c>
      <c r="X58" s="91">
        <v>0</v>
      </c>
      <c r="Y58" s="91">
        <v>0</v>
      </c>
      <c r="Z58" s="91">
        <v>0</v>
      </c>
      <c r="AA58" s="91">
        <v>0</v>
      </c>
      <c r="AB58" s="95">
        <f t="shared" si="5"/>
        <v>0</v>
      </c>
      <c r="AC58" s="95">
        <f t="shared" si="7"/>
        <v>0</v>
      </c>
    </row>
    <row r="59" spans="1:29" x14ac:dyDescent="0.25">
      <c r="A59" s="43" t="s">
        <v>54</v>
      </c>
      <c r="B59" s="42" t="s">
        <v>127</v>
      </c>
      <c r="C59" s="91">
        <v>0</v>
      </c>
      <c r="D59" s="91">
        <v>0</v>
      </c>
      <c r="E59" s="91">
        <v>0</v>
      </c>
      <c r="F59" s="91">
        <v>0</v>
      </c>
      <c r="G59" s="91">
        <v>0</v>
      </c>
      <c r="H59" s="91">
        <v>0</v>
      </c>
      <c r="I59" s="91">
        <v>0</v>
      </c>
      <c r="J59" s="91">
        <v>0</v>
      </c>
      <c r="K59" s="91">
        <v>0</v>
      </c>
      <c r="L59" s="91">
        <v>0</v>
      </c>
      <c r="M59" s="91">
        <v>0</v>
      </c>
      <c r="N59" s="91">
        <v>0</v>
      </c>
      <c r="O59" s="91">
        <v>0</v>
      </c>
      <c r="P59" s="91">
        <v>0</v>
      </c>
      <c r="Q59" s="91">
        <v>0</v>
      </c>
      <c r="R59" s="91">
        <v>0</v>
      </c>
      <c r="S59" s="91">
        <v>0</v>
      </c>
      <c r="T59" s="91">
        <v>0</v>
      </c>
      <c r="U59" s="91">
        <v>0</v>
      </c>
      <c r="V59" s="91">
        <v>0</v>
      </c>
      <c r="W59" s="91">
        <v>0</v>
      </c>
      <c r="X59" s="91">
        <v>0</v>
      </c>
      <c r="Y59" s="91">
        <v>0</v>
      </c>
      <c r="Z59" s="91">
        <v>0</v>
      </c>
      <c r="AA59" s="91">
        <v>0</v>
      </c>
      <c r="AB59" s="95">
        <f t="shared" si="5"/>
        <v>0</v>
      </c>
      <c r="AC59" s="95">
        <f t="shared" si="7"/>
        <v>0</v>
      </c>
    </row>
    <row r="60" spans="1:29" x14ac:dyDescent="0.25">
      <c r="A60" s="40" t="s">
        <v>201</v>
      </c>
      <c r="B60" s="41" t="s">
        <v>147</v>
      </c>
      <c r="C60" s="91">
        <v>0</v>
      </c>
      <c r="D60" s="91">
        <v>0</v>
      </c>
      <c r="E60" s="91">
        <v>0</v>
      </c>
      <c r="F60" s="91">
        <v>0</v>
      </c>
      <c r="G60" s="93">
        <v>0</v>
      </c>
      <c r="H60" s="93">
        <v>0</v>
      </c>
      <c r="I60" s="93">
        <v>0</v>
      </c>
      <c r="J60" s="93">
        <v>0</v>
      </c>
      <c r="K60" s="93">
        <v>0</v>
      </c>
      <c r="L60" s="93">
        <v>0</v>
      </c>
      <c r="M60" s="93">
        <v>0</v>
      </c>
      <c r="N60" s="93">
        <v>0</v>
      </c>
      <c r="O60" s="93">
        <v>0</v>
      </c>
      <c r="P60" s="93">
        <v>0</v>
      </c>
      <c r="Q60" s="93">
        <v>0</v>
      </c>
      <c r="R60" s="93">
        <v>0</v>
      </c>
      <c r="S60" s="93">
        <v>0</v>
      </c>
      <c r="T60" s="93">
        <v>0</v>
      </c>
      <c r="U60" s="93">
        <v>0</v>
      </c>
      <c r="V60" s="93">
        <v>0</v>
      </c>
      <c r="W60" s="93">
        <v>0</v>
      </c>
      <c r="X60" s="93">
        <v>0</v>
      </c>
      <c r="Y60" s="93">
        <v>0</v>
      </c>
      <c r="Z60" s="93">
        <v>0</v>
      </c>
      <c r="AA60" s="93">
        <v>0</v>
      </c>
      <c r="AB60" s="95">
        <f t="shared" si="5"/>
        <v>0</v>
      </c>
      <c r="AC60" s="95">
        <f t="shared" si="7"/>
        <v>0</v>
      </c>
    </row>
    <row r="61" spans="1:29" x14ac:dyDescent="0.25">
      <c r="A61" s="40" t="s">
        <v>202</v>
      </c>
      <c r="B61" s="41" t="s">
        <v>145</v>
      </c>
      <c r="C61" s="91">
        <v>0</v>
      </c>
      <c r="D61" s="91">
        <v>0</v>
      </c>
      <c r="E61" s="91">
        <v>0</v>
      </c>
      <c r="F61" s="91">
        <v>0</v>
      </c>
      <c r="G61" s="93">
        <v>0</v>
      </c>
      <c r="H61" s="93">
        <v>0</v>
      </c>
      <c r="I61" s="93">
        <v>0</v>
      </c>
      <c r="J61" s="93">
        <v>0</v>
      </c>
      <c r="K61" s="93">
        <v>0</v>
      </c>
      <c r="L61" s="93">
        <v>0</v>
      </c>
      <c r="M61" s="93">
        <v>0</v>
      </c>
      <c r="N61" s="93">
        <v>0</v>
      </c>
      <c r="O61" s="93">
        <v>0</v>
      </c>
      <c r="P61" s="93">
        <v>0</v>
      </c>
      <c r="Q61" s="93">
        <v>0</v>
      </c>
      <c r="R61" s="93">
        <v>0</v>
      </c>
      <c r="S61" s="93">
        <v>0</v>
      </c>
      <c r="T61" s="93">
        <v>0</v>
      </c>
      <c r="U61" s="93">
        <v>0</v>
      </c>
      <c r="V61" s="93">
        <v>0</v>
      </c>
      <c r="W61" s="93">
        <v>0</v>
      </c>
      <c r="X61" s="93">
        <v>0</v>
      </c>
      <c r="Y61" s="93">
        <v>0</v>
      </c>
      <c r="Z61" s="93">
        <v>0</v>
      </c>
      <c r="AA61" s="93">
        <v>0</v>
      </c>
      <c r="AB61" s="95">
        <f t="shared" si="5"/>
        <v>0</v>
      </c>
      <c r="AC61" s="95">
        <f t="shared" si="7"/>
        <v>0</v>
      </c>
    </row>
    <row r="62" spans="1:29" x14ac:dyDescent="0.25">
      <c r="A62" s="40" t="s">
        <v>203</v>
      </c>
      <c r="B62" s="41" t="s">
        <v>143</v>
      </c>
      <c r="C62" s="91">
        <v>0</v>
      </c>
      <c r="D62" s="91">
        <v>0</v>
      </c>
      <c r="E62" s="91">
        <v>0</v>
      </c>
      <c r="F62" s="91">
        <v>0</v>
      </c>
      <c r="G62" s="93">
        <v>0</v>
      </c>
      <c r="H62" s="93">
        <v>0</v>
      </c>
      <c r="I62" s="93">
        <v>0</v>
      </c>
      <c r="J62" s="93">
        <v>0</v>
      </c>
      <c r="K62" s="93">
        <v>0</v>
      </c>
      <c r="L62" s="93">
        <v>0</v>
      </c>
      <c r="M62" s="93">
        <v>0</v>
      </c>
      <c r="N62" s="93">
        <v>0</v>
      </c>
      <c r="O62" s="93">
        <v>0</v>
      </c>
      <c r="P62" s="93">
        <v>0</v>
      </c>
      <c r="Q62" s="93">
        <v>0</v>
      </c>
      <c r="R62" s="93">
        <v>0</v>
      </c>
      <c r="S62" s="93">
        <v>0</v>
      </c>
      <c r="T62" s="93">
        <v>0</v>
      </c>
      <c r="U62" s="93">
        <v>0</v>
      </c>
      <c r="V62" s="93">
        <v>0</v>
      </c>
      <c r="W62" s="93">
        <v>0</v>
      </c>
      <c r="X62" s="93">
        <v>0</v>
      </c>
      <c r="Y62" s="93">
        <v>0</v>
      </c>
      <c r="Z62" s="93">
        <v>0</v>
      </c>
      <c r="AA62" s="93">
        <v>0</v>
      </c>
      <c r="AB62" s="95">
        <f t="shared" si="5"/>
        <v>0</v>
      </c>
      <c r="AC62" s="95">
        <f t="shared" si="7"/>
        <v>0</v>
      </c>
    </row>
    <row r="63" spans="1:29" x14ac:dyDescent="0.25">
      <c r="A63" s="40" t="s">
        <v>204</v>
      </c>
      <c r="B63" s="41" t="s">
        <v>206</v>
      </c>
      <c r="C63" s="91">
        <v>0</v>
      </c>
      <c r="D63" s="91">
        <v>0</v>
      </c>
      <c r="E63" s="91">
        <v>0</v>
      </c>
      <c r="F63" s="91">
        <v>0</v>
      </c>
      <c r="G63" s="93">
        <v>0</v>
      </c>
      <c r="H63" s="93">
        <v>0</v>
      </c>
      <c r="I63" s="93">
        <v>0</v>
      </c>
      <c r="J63" s="93">
        <v>0</v>
      </c>
      <c r="K63" s="93">
        <v>0</v>
      </c>
      <c r="L63" s="93">
        <v>0</v>
      </c>
      <c r="M63" s="93">
        <v>0</v>
      </c>
      <c r="N63" s="93">
        <v>0</v>
      </c>
      <c r="O63" s="93">
        <v>0</v>
      </c>
      <c r="P63" s="93">
        <v>0</v>
      </c>
      <c r="Q63" s="93">
        <v>0</v>
      </c>
      <c r="R63" s="93">
        <v>0</v>
      </c>
      <c r="S63" s="93">
        <v>0</v>
      </c>
      <c r="T63" s="93">
        <v>0</v>
      </c>
      <c r="U63" s="93">
        <v>0</v>
      </c>
      <c r="V63" s="93">
        <v>0</v>
      </c>
      <c r="W63" s="93">
        <v>0</v>
      </c>
      <c r="X63" s="93">
        <v>0</v>
      </c>
      <c r="Y63" s="93">
        <v>0</v>
      </c>
      <c r="Z63" s="93">
        <v>0</v>
      </c>
      <c r="AA63" s="93">
        <v>0</v>
      </c>
      <c r="AB63" s="95">
        <f t="shared" si="5"/>
        <v>0</v>
      </c>
      <c r="AC63" s="95">
        <f t="shared" si="7"/>
        <v>0</v>
      </c>
    </row>
    <row r="64" spans="1:29" ht="18.75" x14ac:dyDescent="0.25">
      <c r="A64" s="40" t="s">
        <v>205</v>
      </c>
      <c r="B64" s="39" t="s">
        <v>122</v>
      </c>
      <c r="C64" s="91">
        <v>0</v>
      </c>
      <c r="D64" s="91">
        <v>0</v>
      </c>
      <c r="E64" s="91">
        <v>0</v>
      </c>
      <c r="F64" s="91">
        <v>0</v>
      </c>
      <c r="G64" s="93">
        <v>0</v>
      </c>
      <c r="H64" s="93">
        <v>0</v>
      </c>
      <c r="I64" s="93">
        <v>0</v>
      </c>
      <c r="J64" s="93">
        <v>0</v>
      </c>
      <c r="K64" s="93">
        <v>0</v>
      </c>
      <c r="L64" s="93">
        <v>0</v>
      </c>
      <c r="M64" s="93">
        <v>0</v>
      </c>
      <c r="N64" s="93">
        <v>0</v>
      </c>
      <c r="O64" s="93">
        <v>0</v>
      </c>
      <c r="P64" s="93">
        <v>0</v>
      </c>
      <c r="Q64" s="93">
        <v>0</v>
      </c>
      <c r="R64" s="93">
        <v>0</v>
      </c>
      <c r="S64" s="93">
        <v>0</v>
      </c>
      <c r="T64" s="93">
        <v>0</v>
      </c>
      <c r="U64" s="93">
        <v>0</v>
      </c>
      <c r="V64" s="93">
        <v>0</v>
      </c>
      <c r="W64" s="93">
        <v>0</v>
      </c>
      <c r="X64" s="93">
        <v>0</v>
      </c>
      <c r="Y64" s="93">
        <v>0</v>
      </c>
      <c r="Z64" s="93">
        <v>0</v>
      </c>
      <c r="AA64" s="93">
        <v>0</v>
      </c>
      <c r="AB64" s="95">
        <f t="shared" si="5"/>
        <v>0</v>
      </c>
      <c r="AC64" s="95">
        <f t="shared" si="7"/>
        <v>0</v>
      </c>
    </row>
    <row r="65" spans="1:28" x14ac:dyDescent="0.25">
      <c r="A65" s="37"/>
      <c r="B65" s="32"/>
      <c r="C65" s="32"/>
      <c r="D65" s="32"/>
      <c r="E65" s="32"/>
      <c r="F65" s="32"/>
      <c r="G65" s="32"/>
      <c r="H65" s="32"/>
      <c r="I65" s="32"/>
      <c r="J65" s="32"/>
      <c r="K65" s="32"/>
      <c r="L65" s="37"/>
      <c r="M65" s="37"/>
      <c r="T65" s="37"/>
      <c r="U65" s="37"/>
    </row>
    <row r="66" spans="1:28" ht="54" customHeight="1" x14ac:dyDescent="0.25">
      <c r="B66" s="406"/>
      <c r="C66" s="406"/>
      <c r="D66" s="406"/>
      <c r="E66" s="406"/>
      <c r="F66" s="406"/>
      <c r="G66" s="406"/>
      <c r="H66" s="406"/>
      <c r="I66" s="406"/>
      <c r="J66" s="34"/>
      <c r="K66" s="34"/>
      <c r="L66" s="36"/>
      <c r="M66" s="36"/>
      <c r="N66" s="36"/>
      <c r="O66" s="36"/>
      <c r="P66" s="36"/>
      <c r="Q66" s="36"/>
      <c r="R66" s="36"/>
      <c r="S66" s="36"/>
      <c r="T66" s="36"/>
      <c r="U66" s="36"/>
      <c r="V66" s="36"/>
      <c r="W66" s="36"/>
      <c r="X66" s="36"/>
      <c r="Y66" s="36"/>
      <c r="Z66" s="36"/>
      <c r="AA66" s="36"/>
      <c r="AB66" s="36"/>
    </row>
    <row r="68" spans="1:28" ht="50.25" customHeight="1" x14ac:dyDescent="0.25">
      <c r="B68" s="406"/>
      <c r="C68" s="406"/>
      <c r="D68" s="406"/>
      <c r="E68" s="406"/>
      <c r="F68" s="406"/>
      <c r="G68" s="406"/>
      <c r="H68" s="406"/>
      <c r="I68" s="406"/>
      <c r="J68" s="34"/>
      <c r="K68" s="34"/>
    </row>
    <row r="70" spans="1:28" ht="36.75" customHeight="1" x14ac:dyDescent="0.25">
      <c r="B70" s="406"/>
      <c r="C70" s="406"/>
      <c r="D70" s="406"/>
      <c r="E70" s="406"/>
      <c r="F70" s="406"/>
      <c r="G70" s="406"/>
      <c r="H70" s="406"/>
      <c r="I70" s="406"/>
      <c r="J70" s="34"/>
      <c r="K70" s="34"/>
    </row>
    <row r="71" spans="1:28" x14ac:dyDescent="0.25">
      <c r="N71" s="35"/>
      <c r="V71" s="35"/>
    </row>
    <row r="72" spans="1:28" ht="51" customHeight="1" x14ac:dyDescent="0.25">
      <c r="B72" s="406"/>
      <c r="C72" s="406"/>
      <c r="D72" s="406"/>
      <c r="E72" s="406"/>
      <c r="F72" s="406"/>
      <c r="G72" s="406"/>
      <c r="H72" s="406"/>
      <c r="I72" s="406"/>
      <c r="J72" s="34"/>
      <c r="K72" s="34"/>
      <c r="N72" s="35"/>
      <c r="V72" s="35"/>
    </row>
    <row r="73" spans="1:28" ht="32.25" customHeight="1" x14ac:dyDescent="0.25">
      <c r="B73" s="406"/>
      <c r="C73" s="406"/>
      <c r="D73" s="406"/>
      <c r="E73" s="406"/>
      <c r="F73" s="406"/>
      <c r="G73" s="406"/>
      <c r="H73" s="406"/>
      <c r="I73" s="406"/>
      <c r="J73" s="34"/>
      <c r="K73" s="34"/>
    </row>
    <row r="74" spans="1:28" ht="51.75" customHeight="1" x14ac:dyDescent="0.25">
      <c r="B74" s="406"/>
      <c r="C74" s="406"/>
      <c r="D74" s="406"/>
      <c r="E74" s="406"/>
      <c r="F74" s="406"/>
      <c r="G74" s="406"/>
      <c r="H74" s="406"/>
      <c r="I74" s="406"/>
      <c r="J74" s="34"/>
      <c r="K74" s="34"/>
    </row>
    <row r="75" spans="1:28" ht="21.75" customHeight="1" x14ac:dyDescent="0.25">
      <c r="B75" s="412"/>
      <c r="C75" s="412"/>
      <c r="D75" s="412"/>
      <c r="E75" s="412"/>
      <c r="F75" s="412"/>
      <c r="G75" s="412"/>
      <c r="H75" s="412"/>
      <c r="I75" s="412"/>
      <c r="J75" s="33"/>
      <c r="K75" s="33"/>
    </row>
    <row r="76" spans="1:28" ht="23.25" customHeight="1" x14ac:dyDescent="0.25"/>
    <row r="77" spans="1:28" ht="18.75" customHeight="1" x14ac:dyDescent="0.25">
      <c r="B77" s="405"/>
      <c r="C77" s="405"/>
      <c r="D77" s="405"/>
      <c r="E77" s="405"/>
      <c r="F77" s="405"/>
      <c r="G77" s="405"/>
      <c r="H77" s="405"/>
      <c r="I77" s="405"/>
      <c r="J77" s="32"/>
      <c r="K77" s="32"/>
    </row>
    <row r="81" s="31" customFormat="1" x14ac:dyDescent="0.25"/>
    <row r="82" s="31" customFormat="1" x14ac:dyDescent="0.25"/>
    <row r="83" s="31" customFormat="1" x14ac:dyDescent="0.25"/>
    <row r="84" s="31" customFormat="1" x14ac:dyDescent="0.25"/>
    <row r="85" s="31" customFormat="1" x14ac:dyDescent="0.25"/>
    <row r="86" s="31" customFormat="1" x14ac:dyDescent="0.25"/>
    <row r="87" s="31" customFormat="1" x14ac:dyDescent="0.25"/>
    <row r="88" s="31" customFormat="1" x14ac:dyDescent="0.25"/>
    <row r="89" s="31" customFormat="1" x14ac:dyDescent="0.25"/>
    <row r="90" s="31" customFormat="1" x14ac:dyDescent="0.25"/>
    <row r="91" s="31" customFormat="1" x14ac:dyDescent="0.25"/>
    <row r="92" s="31"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77"/>
  <sheetViews>
    <sheetView zoomScale="70" zoomScaleNormal="70" zoomScaleSheetLayoutView="70" workbookViewId="0">
      <selection activeCell="G49" sqref="G49"/>
    </sheetView>
  </sheetViews>
  <sheetFormatPr defaultColWidth="9.140625" defaultRowHeight="15.75" x14ac:dyDescent="0.25"/>
  <cols>
    <col min="1" max="1" width="9.140625" style="281"/>
    <col min="2" max="2" width="57.85546875" style="281" customWidth="1"/>
    <col min="3" max="3" width="13" style="281" customWidth="1"/>
    <col min="4" max="4" width="15.28515625" style="281" customWidth="1"/>
    <col min="5" max="6" width="17.7109375" style="281" customWidth="1"/>
    <col min="7" max="7" width="15.85546875" style="281" customWidth="1"/>
    <col min="8" max="15" width="9.28515625" style="281" customWidth="1"/>
    <col min="16" max="17" width="8" style="281" customWidth="1"/>
    <col min="18" max="19" width="8.5703125" style="281" customWidth="1"/>
    <col min="20" max="21" width="8" style="281" customWidth="1"/>
    <col min="22" max="23" width="8.5703125" style="281" customWidth="1"/>
    <col min="24" max="25" width="8" style="281" customWidth="1"/>
    <col min="26" max="27" width="8.5703125" style="281" customWidth="1"/>
    <col min="28" max="28" width="15.42578125" style="281" customWidth="1"/>
    <col min="29" max="29" width="18.7109375" style="281" customWidth="1"/>
    <col min="30" max="16384" width="9.140625" style="281"/>
  </cols>
  <sheetData>
    <row r="1" spans="1:29" ht="18.75" x14ac:dyDescent="0.25">
      <c r="AC1" s="275" t="s">
        <v>66</v>
      </c>
    </row>
    <row r="2" spans="1:29" ht="18.75" x14ac:dyDescent="0.3">
      <c r="AC2" s="276" t="s">
        <v>8</v>
      </c>
    </row>
    <row r="3" spans="1:29" ht="18.75" x14ac:dyDescent="0.3">
      <c r="AC3" s="276" t="s">
        <v>65</v>
      </c>
    </row>
    <row r="4" spans="1:29" ht="18.75" customHeight="1" x14ac:dyDescent="0.25">
      <c r="A4" s="435" t="str">
        <f>'6.1. Паспорт сетевой график'!A5:K5</f>
        <v>Год раскрытия информации: 2024 год</v>
      </c>
      <c r="B4" s="435"/>
      <c r="C4" s="435"/>
      <c r="D4" s="435"/>
      <c r="E4" s="435"/>
      <c r="F4" s="435"/>
      <c r="G4" s="435"/>
      <c r="H4" s="435"/>
      <c r="I4" s="435"/>
      <c r="J4" s="435"/>
      <c r="K4" s="435"/>
      <c r="L4" s="435"/>
      <c r="M4" s="435"/>
      <c r="N4" s="435"/>
      <c r="O4" s="435"/>
      <c r="P4" s="435"/>
      <c r="Q4" s="435"/>
      <c r="R4" s="435"/>
      <c r="S4" s="435"/>
      <c r="T4" s="435"/>
      <c r="U4" s="435"/>
      <c r="V4" s="435"/>
      <c r="W4" s="435"/>
      <c r="X4" s="435"/>
      <c r="Y4" s="435"/>
      <c r="Z4" s="435"/>
      <c r="AA4" s="435"/>
      <c r="AB4" s="435"/>
      <c r="AC4" s="435"/>
    </row>
    <row r="5" spans="1:29" ht="18.75" x14ac:dyDescent="0.3">
      <c r="AC5" s="276"/>
    </row>
    <row r="6" spans="1:29" ht="18.75" x14ac:dyDescent="0.25">
      <c r="A6" s="436" t="s">
        <v>7</v>
      </c>
      <c r="B6" s="436"/>
      <c r="C6" s="436"/>
      <c r="D6" s="436"/>
      <c r="E6" s="436"/>
      <c r="F6" s="436"/>
      <c r="G6" s="436"/>
      <c r="H6" s="436"/>
      <c r="I6" s="436"/>
      <c r="J6" s="436"/>
      <c r="K6" s="436"/>
      <c r="L6" s="436"/>
      <c r="M6" s="436"/>
      <c r="N6" s="436"/>
      <c r="O6" s="436"/>
      <c r="P6" s="436"/>
      <c r="Q6" s="436"/>
      <c r="R6" s="436"/>
      <c r="S6" s="436"/>
      <c r="T6" s="436"/>
      <c r="U6" s="436"/>
      <c r="V6" s="436"/>
      <c r="W6" s="436"/>
      <c r="X6" s="436"/>
      <c r="Y6" s="436"/>
      <c r="Z6" s="436"/>
      <c r="AA6" s="436"/>
      <c r="AB6" s="436"/>
      <c r="AC6" s="436"/>
    </row>
    <row r="7" spans="1:29" ht="18.75" x14ac:dyDescent="0.25">
      <c r="A7" s="183"/>
      <c r="B7" s="183"/>
      <c r="C7" s="183"/>
      <c r="D7" s="183"/>
      <c r="E7" s="183"/>
      <c r="F7" s="183"/>
      <c r="G7" s="183"/>
      <c r="H7" s="282"/>
      <c r="I7" s="282"/>
      <c r="J7" s="282"/>
      <c r="K7" s="282"/>
      <c r="L7" s="282"/>
      <c r="M7" s="282"/>
      <c r="N7" s="282"/>
      <c r="O7" s="282"/>
      <c r="P7" s="282"/>
      <c r="Q7" s="282"/>
      <c r="R7" s="282"/>
      <c r="S7" s="282"/>
      <c r="T7" s="282"/>
      <c r="U7" s="282"/>
      <c r="V7" s="282"/>
      <c r="W7" s="282"/>
      <c r="X7" s="282"/>
      <c r="Y7" s="282"/>
      <c r="Z7" s="282"/>
      <c r="AA7" s="282"/>
      <c r="AB7" s="282"/>
      <c r="AC7" s="282"/>
    </row>
    <row r="8" spans="1:29" x14ac:dyDescent="0.25">
      <c r="A8" s="437" t="str">
        <f>'6.1. Паспорт сетевой график'!A9</f>
        <v xml:space="preserve">Акционерное общество "Западная энергетическая компания" </v>
      </c>
      <c r="B8" s="437"/>
      <c r="C8" s="437"/>
      <c r="D8" s="437"/>
      <c r="E8" s="437"/>
      <c r="F8" s="437"/>
      <c r="G8" s="437"/>
      <c r="H8" s="437"/>
      <c r="I8" s="437"/>
      <c r="J8" s="437"/>
      <c r="K8" s="437"/>
      <c r="L8" s="437"/>
      <c r="M8" s="437"/>
      <c r="N8" s="437"/>
      <c r="O8" s="437"/>
      <c r="P8" s="437"/>
      <c r="Q8" s="437"/>
      <c r="R8" s="437"/>
      <c r="S8" s="437"/>
      <c r="T8" s="437"/>
      <c r="U8" s="437"/>
      <c r="V8" s="437"/>
      <c r="W8" s="437"/>
      <c r="X8" s="437"/>
      <c r="Y8" s="437"/>
      <c r="Z8" s="437"/>
      <c r="AA8" s="437"/>
      <c r="AB8" s="437"/>
      <c r="AC8" s="437"/>
    </row>
    <row r="9" spans="1:29" ht="18.75" customHeight="1" x14ac:dyDescent="0.25">
      <c r="A9" s="429" t="s">
        <v>6</v>
      </c>
      <c r="B9" s="429"/>
      <c r="C9" s="429"/>
      <c r="D9" s="429"/>
      <c r="E9" s="429"/>
      <c r="F9" s="429"/>
      <c r="G9" s="429"/>
      <c r="H9" s="429"/>
      <c r="I9" s="429"/>
      <c r="J9" s="429"/>
      <c r="K9" s="429"/>
      <c r="L9" s="429"/>
      <c r="M9" s="429"/>
      <c r="N9" s="429"/>
      <c r="O9" s="429"/>
      <c r="P9" s="429"/>
      <c r="Q9" s="429"/>
      <c r="R9" s="429"/>
      <c r="S9" s="429"/>
      <c r="T9" s="429"/>
      <c r="U9" s="429"/>
      <c r="V9" s="429"/>
      <c r="W9" s="429"/>
      <c r="X9" s="429"/>
      <c r="Y9" s="429"/>
      <c r="Z9" s="429"/>
      <c r="AA9" s="429"/>
      <c r="AB9" s="429"/>
      <c r="AC9" s="429"/>
    </row>
    <row r="10" spans="1:29" ht="18.75" x14ac:dyDescent="0.25">
      <c r="A10" s="183"/>
      <c r="B10" s="183"/>
      <c r="C10" s="183"/>
      <c r="D10" s="183"/>
      <c r="E10" s="183"/>
      <c r="F10" s="183"/>
      <c r="G10" s="183"/>
      <c r="H10" s="282"/>
      <c r="I10" s="282"/>
      <c r="J10" s="282"/>
      <c r="K10" s="282"/>
      <c r="L10" s="282"/>
      <c r="M10" s="282"/>
      <c r="N10" s="282"/>
      <c r="O10" s="282"/>
      <c r="P10" s="282"/>
      <c r="Q10" s="282"/>
      <c r="R10" s="282"/>
      <c r="S10" s="282"/>
      <c r="T10" s="282"/>
      <c r="U10" s="282"/>
      <c r="V10" s="282"/>
      <c r="W10" s="282"/>
      <c r="X10" s="282"/>
      <c r="Y10" s="282"/>
      <c r="Z10" s="282"/>
      <c r="AA10" s="282"/>
      <c r="AB10" s="282"/>
      <c r="AC10" s="282"/>
    </row>
    <row r="11" spans="1:29" x14ac:dyDescent="0.25">
      <c r="A11" s="437" t="str">
        <f>'6.1. Паспорт сетевой график'!A12</f>
        <v>O 24-35</v>
      </c>
      <c r="B11" s="437"/>
      <c r="C11" s="437"/>
      <c r="D11" s="437"/>
      <c r="E11" s="437"/>
      <c r="F11" s="437"/>
      <c r="G11" s="437"/>
      <c r="H11" s="437"/>
      <c r="I11" s="437"/>
      <c r="J11" s="437"/>
      <c r="K11" s="437"/>
      <c r="L11" s="437"/>
      <c r="M11" s="437"/>
      <c r="N11" s="437"/>
      <c r="O11" s="437"/>
      <c r="P11" s="437"/>
      <c r="Q11" s="437"/>
      <c r="R11" s="437"/>
      <c r="S11" s="437"/>
      <c r="T11" s="437"/>
      <c r="U11" s="437"/>
      <c r="V11" s="437"/>
      <c r="W11" s="437"/>
      <c r="X11" s="437"/>
      <c r="Y11" s="437"/>
      <c r="Z11" s="437"/>
      <c r="AA11" s="437"/>
      <c r="AB11" s="437"/>
      <c r="AC11" s="437"/>
    </row>
    <row r="12" spans="1:29" x14ac:dyDescent="0.25">
      <c r="A12" s="429" t="s">
        <v>5</v>
      </c>
      <c r="B12" s="429"/>
      <c r="C12" s="429"/>
      <c r="D12" s="429"/>
      <c r="E12" s="429"/>
      <c r="F12" s="429"/>
      <c r="G12" s="429"/>
      <c r="H12" s="429"/>
      <c r="I12" s="429"/>
      <c r="J12" s="429"/>
      <c r="K12" s="429"/>
      <c r="L12" s="429"/>
      <c r="M12" s="429"/>
      <c r="N12" s="429"/>
      <c r="O12" s="429"/>
      <c r="P12" s="429"/>
      <c r="Q12" s="429"/>
      <c r="R12" s="429"/>
      <c r="S12" s="429"/>
      <c r="T12" s="429"/>
      <c r="U12" s="429"/>
      <c r="V12" s="429"/>
      <c r="W12" s="429"/>
      <c r="X12" s="429"/>
      <c r="Y12" s="429"/>
      <c r="Z12" s="429"/>
      <c r="AA12" s="429"/>
      <c r="AB12" s="429"/>
      <c r="AC12" s="429"/>
    </row>
    <row r="13" spans="1:29" ht="16.5" customHeight="1" x14ac:dyDescent="0.3">
      <c r="A13" s="183"/>
      <c r="B13" s="183"/>
      <c r="C13" s="183"/>
      <c r="D13" s="183"/>
      <c r="E13" s="183"/>
      <c r="F13" s="183"/>
      <c r="G13" s="183"/>
      <c r="H13" s="277"/>
      <c r="I13" s="277"/>
      <c r="J13" s="277"/>
      <c r="K13" s="277"/>
      <c r="L13" s="277"/>
      <c r="M13" s="277"/>
      <c r="N13" s="277"/>
      <c r="O13" s="277"/>
      <c r="P13" s="277"/>
      <c r="Q13" s="277"/>
      <c r="R13" s="277"/>
      <c r="S13" s="277"/>
      <c r="T13" s="277"/>
      <c r="U13" s="277"/>
      <c r="V13" s="277"/>
      <c r="W13" s="277"/>
      <c r="X13" s="277"/>
      <c r="Y13" s="277"/>
      <c r="Z13" s="277"/>
      <c r="AA13" s="277"/>
      <c r="AB13" s="277"/>
      <c r="AC13" s="277"/>
    </row>
    <row r="14" spans="1:29" ht="36" customHeight="1" x14ac:dyDescent="0.25">
      <c r="A14" s="428" t="str">
        <f>'6.1. Паспорт сетевой график'!A15</f>
        <v>Покупка объектов основных средств электросетевого хозяйства</v>
      </c>
      <c r="B14" s="428"/>
      <c r="C14" s="428"/>
      <c r="D14" s="428"/>
      <c r="E14" s="428"/>
      <c r="F14" s="428"/>
      <c r="G14" s="428"/>
      <c r="H14" s="428"/>
      <c r="I14" s="428"/>
      <c r="J14" s="428"/>
      <c r="K14" s="428"/>
      <c r="L14" s="428"/>
      <c r="M14" s="428"/>
      <c r="N14" s="428"/>
      <c r="O14" s="428"/>
      <c r="P14" s="428"/>
      <c r="Q14" s="428"/>
      <c r="R14" s="428"/>
      <c r="S14" s="428"/>
      <c r="T14" s="428"/>
      <c r="U14" s="428"/>
      <c r="V14" s="428"/>
      <c r="W14" s="428"/>
      <c r="X14" s="428"/>
      <c r="Y14" s="428"/>
      <c r="Z14" s="428"/>
      <c r="AA14" s="428"/>
      <c r="AB14" s="428"/>
      <c r="AC14" s="428"/>
    </row>
    <row r="15" spans="1:29" ht="15.75" customHeight="1" x14ac:dyDescent="0.25">
      <c r="A15" s="429" t="s">
        <v>4</v>
      </c>
      <c r="B15" s="429"/>
      <c r="C15" s="429"/>
      <c r="D15" s="429"/>
      <c r="E15" s="429"/>
      <c r="F15" s="429"/>
      <c r="G15" s="429"/>
      <c r="H15" s="429"/>
      <c r="I15" s="429"/>
      <c r="J15" s="429"/>
      <c r="K15" s="429"/>
      <c r="L15" s="429"/>
      <c r="M15" s="429"/>
      <c r="N15" s="429"/>
      <c r="O15" s="429"/>
      <c r="P15" s="429"/>
      <c r="Q15" s="429"/>
      <c r="R15" s="429"/>
      <c r="S15" s="429"/>
      <c r="T15" s="429"/>
      <c r="U15" s="429"/>
      <c r="V15" s="429"/>
      <c r="W15" s="429"/>
      <c r="X15" s="429"/>
      <c r="Y15" s="429"/>
      <c r="Z15" s="429"/>
      <c r="AA15" s="429"/>
      <c r="AB15" s="429"/>
      <c r="AC15" s="429"/>
    </row>
    <row r="16" spans="1:29" x14ac:dyDescent="0.25">
      <c r="A16" s="430"/>
      <c r="B16" s="430"/>
      <c r="C16" s="430"/>
      <c r="D16" s="430"/>
      <c r="E16" s="430"/>
      <c r="F16" s="430"/>
      <c r="G16" s="430"/>
      <c r="H16" s="430"/>
      <c r="I16" s="430"/>
      <c r="J16" s="430"/>
      <c r="K16" s="430"/>
      <c r="L16" s="430"/>
      <c r="M16" s="430"/>
      <c r="N16" s="430"/>
      <c r="O16" s="430"/>
      <c r="P16" s="430"/>
      <c r="Q16" s="430"/>
      <c r="R16" s="430"/>
      <c r="S16" s="430"/>
      <c r="T16" s="430"/>
      <c r="U16" s="430"/>
      <c r="V16" s="430"/>
      <c r="W16" s="430"/>
      <c r="X16" s="430"/>
      <c r="Y16" s="430"/>
      <c r="Z16" s="430"/>
      <c r="AA16" s="430"/>
      <c r="AB16" s="430"/>
      <c r="AC16" s="430"/>
    </row>
    <row r="17" spans="1:32" x14ac:dyDescent="0.25">
      <c r="I17" s="283"/>
    </row>
    <row r="18" spans="1:32" ht="30" customHeight="1" x14ac:dyDescent="0.25">
      <c r="A18" s="430" t="s">
        <v>393</v>
      </c>
      <c r="B18" s="430"/>
      <c r="C18" s="430"/>
      <c r="D18" s="430"/>
      <c r="E18" s="430"/>
      <c r="F18" s="430"/>
      <c r="G18" s="430"/>
      <c r="H18" s="430"/>
      <c r="I18" s="430"/>
      <c r="J18" s="430"/>
      <c r="K18" s="430"/>
      <c r="L18" s="430"/>
      <c r="M18" s="430"/>
      <c r="N18" s="430"/>
      <c r="O18" s="430"/>
      <c r="P18" s="430"/>
      <c r="Q18" s="430"/>
      <c r="R18" s="430"/>
      <c r="S18" s="430"/>
      <c r="T18" s="430"/>
      <c r="U18" s="430"/>
      <c r="V18" s="430"/>
      <c r="W18" s="430"/>
      <c r="X18" s="430"/>
      <c r="Y18" s="430"/>
      <c r="Z18" s="430"/>
      <c r="AA18" s="430"/>
      <c r="AB18" s="430"/>
      <c r="AC18" s="430"/>
    </row>
    <row r="19" spans="1:32" ht="49.5" hidden="1" customHeight="1" x14ac:dyDescent="0.25">
      <c r="E19" s="284" t="s">
        <v>548</v>
      </c>
      <c r="F19" s="296"/>
      <c r="G19" s="284" t="s">
        <v>549</v>
      </c>
      <c r="H19" s="281" t="s">
        <v>550</v>
      </c>
      <c r="L19" s="281" t="s">
        <v>551</v>
      </c>
      <c r="P19" s="281" t="s">
        <v>552</v>
      </c>
    </row>
    <row r="20" spans="1:32" ht="33" customHeight="1" x14ac:dyDescent="0.25">
      <c r="A20" s="431" t="s">
        <v>183</v>
      </c>
      <c r="B20" s="431" t="s">
        <v>182</v>
      </c>
      <c r="C20" s="422" t="s">
        <v>181</v>
      </c>
      <c r="D20" s="422"/>
      <c r="E20" s="427" t="s">
        <v>180</v>
      </c>
      <c r="F20" s="427"/>
      <c r="G20" s="431" t="s">
        <v>585</v>
      </c>
      <c r="H20" s="423">
        <v>2025</v>
      </c>
      <c r="I20" s="424"/>
      <c r="J20" s="424"/>
      <c r="K20" s="425"/>
      <c r="L20" s="423">
        <v>2026</v>
      </c>
      <c r="M20" s="424"/>
      <c r="N20" s="424"/>
      <c r="O20" s="425"/>
      <c r="P20" s="423">
        <v>2027</v>
      </c>
      <c r="Q20" s="424"/>
      <c r="R20" s="424"/>
      <c r="S20" s="425"/>
      <c r="T20" s="423">
        <v>2028</v>
      </c>
      <c r="U20" s="424"/>
      <c r="V20" s="424"/>
      <c r="W20" s="425"/>
      <c r="X20" s="423">
        <v>2029</v>
      </c>
      <c r="Y20" s="424"/>
      <c r="Z20" s="424"/>
      <c r="AA20" s="425"/>
      <c r="AB20" s="434" t="s">
        <v>179</v>
      </c>
      <c r="AC20" s="434"/>
      <c r="AD20" s="286"/>
      <c r="AE20" s="286"/>
      <c r="AF20" s="286"/>
    </row>
    <row r="21" spans="1:32" ht="99.75" customHeight="1" x14ac:dyDescent="0.25">
      <c r="A21" s="432"/>
      <c r="B21" s="432"/>
      <c r="C21" s="422"/>
      <c r="D21" s="422"/>
      <c r="E21" s="427"/>
      <c r="F21" s="427"/>
      <c r="G21" s="432"/>
      <c r="H21" s="422" t="s">
        <v>2</v>
      </c>
      <c r="I21" s="422"/>
      <c r="J21" s="422" t="s">
        <v>178</v>
      </c>
      <c r="K21" s="422"/>
      <c r="L21" s="422" t="s">
        <v>2</v>
      </c>
      <c r="M21" s="422"/>
      <c r="N21" s="422" t="s">
        <v>178</v>
      </c>
      <c r="O21" s="422"/>
      <c r="P21" s="422" t="s">
        <v>2</v>
      </c>
      <c r="Q21" s="422"/>
      <c r="R21" s="422" t="s">
        <v>178</v>
      </c>
      <c r="S21" s="422"/>
      <c r="T21" s="422" t="s">
        <v>2</v>
      </c>
      <c r="U21" s="422"/>
      <c r="V21" s="422" t="s">
        <v>178</v>
      </c>
      <c r="W21" s="422"/>
      <c r="X21" s="422" t="s">
        <v>2</v>
      </c>
      <c r="Y21" s="422"/>
      <c r="Z21" s="422" t="s">
        <v>178</v>
      </c>
      <c r="AA21" s="422"/>
      <c r="AB21" s="434"/>
      <c r="AC21" s="434"/>
    </row>
    <row r="22" spans="1:32" ht="89.25" customHeight="1" x14ac:dyDescent="0.25">
      <c r="A22" s="433"/>
      <c r="B22" s="433"/>
      <c r="C22" s="284" t="s">
        <v>2</v>
      </c>
      <c r="D22" s="284" t="s">
        <v>178</v>
      </c>
      <c r="E22" s="297" t="s">
        <v>583</v>
      </c>
      <c r="F22" s="297" t="s">
        <v>583</v>
      </c>
      <c r="G22" s="433"/>
      <c r="H22" s="287" t="s">
        <v>374</v>
      </c>
      <c r="I22" s="287" t="s">
        <v>375</v>
      </c>
      <c r="J22" s="287" t="s">
        <v>374</v>
      </c>
      <c r="K22" s="287" t="s">
        <v>375</v>
      </c>
      <c r="L22" s="287" t="s">
        <v>374</v>
      </c>
      <c r="M22" s="287" t="s">
        <v>375</v>
      </c>
      <c r="N22" s="287" t="s">
        <v>374</v>
      </c>
      <c r="O22" s="287" t="s">
        <v>375</v>
      </c>
      <c r="P22" s="287" t="s">
        <v>374</v>
      </c>
      <c r="Q22" s="287" t="s">
        <v>375</v>
      </c>
      <c r="R22" s="287" t="s">
        <v>374</v>
      </c>
      <c r="S22" s="287" t="s">
        <v>375</v>
      </c>
      <c r="T22" s="287" t="s">
        <v>374</v>
      </c>
      <c r="U22" s="287" t="s">
        <v>375</v>
      </c>
      <c r="V22" s="287" t="s">
        <v>374</v>
      </c>
      <c r="W22" s="287" t="s">
        <v>375</v>
      </c>
      <c r="X22" s="287" t="s">
        <v>374</v>
      </c>
      <c r="Y22" s="287" t="s">
        <v>375</v>
      </c>
      <c r="Z22" s="287" t="s">
        <v>374</v>
      </c>
      <c r="AA22" s="287" t="s">
        <v>375</v>
      </c>
      <c r="AB22" s="284" t="s">
        <v>553</v>
      </c>
      <c r="AC22" s="284" t="s">
        <v>537</v>
      </c>
    </row>
    <row r="23" spans="1:32" ht="19.5" customHeight="1" x14ac:dyDescent="0.25">
      <c r="A23" s="285">
        <v>1</v>
      </c>
      <c r="B23" s="285">
        <v>2</v>
      </c>
      <c r="C23" s="285">
        <v>3</v>
      </c>
      <c r="D23" s="285">
        <v>4</v>
      </c>
      <c r="E23" s="285">
        <v>5</v>
      </c>
      <c r="F23" s="297">
        <v>6</v>
      </c>
      <c r="G23" s="285">
        <v>7</v>
      </c>
      <c r="H23" s="285">
        <v>8</v>
      </c>
      <c r="I23" s="285">
        <v>9</v>
      </c>
      <c r="J23" s="285">
        <v>10</v>
      </c>
      <c r="K23" s="285">
        <v>11</v>
      </c>
      <c r="L23" s="285">
        <v>12</v>
      </c>
      <c r="M23" s="285">
        <v>13</v>
      </c>
      <c r="N23" s="285">
        <v>14</v>
      </c>
      <c r="O23" s="285">
        <v>15</v>
      </c>
      <c r="P23" s="285">
        <v>16</v>
      </c>
      <c r="Q23" s="285">
        <v>17</v>
      </c>
      <c r="R23" s="285">
        <v>18</v>
      </c>
      <c r="S23" s="285">
        <v>19</v>
      </c>
      <c r="T23" s="285">
        <v>20</v>
      </c>
      <c r="U23" s="285">
        <v>21</v>
      </c>
      <c r="V23" s="285">
        <v>22</v>
      </c>
      <c r="W23" s="285">
        <v>23</v>
      </c>
      <c r="X23" s="285">
        <v>24</v>
      </c>
      <c r="Y23" s="285">
        <v>25</v>
      </c>
      <c r="Z23" s="285">
        <v>26</v>
      </c>
      <c r="AA23" s="285">
        <v>27</v>
      </c>
      <c r="AB23" s="285">
        <v>28</v>
      </c>
      <c r="AC23" s="285">
        <v>29</v>
      </c>
    </row>
    <row r="24" spans="1:32" ht="47.25" customHeight="1" x14ac:dyDescent="0.25">
      <c r="A24" s="288">
        <v>1</v>
      </c>
      <c r="B24" s="289" t="s">
        <v>177</v>
      </c>
      <c r="C24" s="280">
        <f>SUM(C25:C29)</f>
        <v>46.270399999999995</v>
      </c>
      <c r="D24" s="280" t="s">
        <v>538</v>
      </c>
      <c r="E24" s="280">
        <f>C24</f>
        <v>46.270399999999995</v>
      </c>
      <c r="F24" s="298">
        <f>E24</f>
        <v>46.270399999999995</v>
      </c>
      <c r="G24" s="280">
        <f>SUM(G25:G29)</f>
        <v>23.770399999999999</v>
      </c>
      <c r="H24" s="280">
        <f>4</f>
        <v>4</v>
      </c>
      <c r="I24" s="280">
        <f>SUM(I25:I29)</f>
        <v>0</v>
      </c>
      <c r="J24" s="280" t="s">
        <v>538</v>
      </c>
      <c r="K24" s="280" t="s">
        <v>538</v>
      </c>
      <c r="L24" s="280">
        <v>4</v>
      </c>
      <c r="M24" s="280">
        <f t="shared" ref="M24:Y24" si="0">SUM(M25:M29)</f>
        <v>0</v>
      </c>
      <c r="N24" s="280" t="s">
        <v>538</v>
      </c>
      <c r="O24" s="280" t="s">
        <v>538</v>
      </c>
      <c r="P24" s="280">
        <v>4</v>
      </c>
      <c r="Q24" s="280">
        <f t="shared" si="0"/>
        <v>0</v>
      </c>
      <c r="R24" s="280" t="s">
        <v>538</v>
      </c>
      <c r="S24" s="280" t="s">
        <v>538</v>
      </c>
      <c r="T24" s="280">
        <v>4</v>
      </c>
      <c r="U24" s="280">
        <f t="shared" si="0"/>
        <v>0</v>
      </c>
      <c r="V24" s="280" t="s">
        <v>538</v>
      </c>
      <c r="W24" s="280" t="s">
        <v>538</v>
      </c>
      <c r="X24" s="280">
        <v>4</v>
      </c>
      <c r="Y24" s="280">
        <f t="shared" si="0"/>
        <v>0</v>
      </c>
      <c r="Z24" s="280" t="s">
        <v>538</v>
      </c>
      <c r="AA24" s="280" t="s">
        <v>538</v>
      </c>
      <c r="AB24" s="280">
        <f>X24+T24+P24+L24+H24</f>
        <v>20</v>
      </c>
      <c r="AC24" s="280" t="s">
        <v>538</v>
      </c>
      <c r="AD24" s="283"/>
    </row>
    <row r="25" spans="1:32" ht="24" customHeight="1" x14ac:dyDescent="0.25">
      <c r="A25" s="288" t="s">
        <v>176</v>
      </c>
      <c r="B25" s="289" t="s">
        <v>175</v>
      </c>
      <c r="C25" s="280">
        <v>0</v>
      </c>
      <c r="D25" s="280" t="s">
        <v>538</v>
      </c>
      <c r="E25" s="280">
        <f t="shared" ref="E25:E64" si="1">C25</f>
        <v>0</v>
      </c>
      <c r="F25" s="298">
        <f t="shared" ref="F25:F64" si="2">E25</f>
        <v>0</v>
      </c>
      <c r="G25" s="280">
        <v>0</v>
      </c>
      <c r="H25" s="280">
        <v>0</v>
      </c>
      <c r="I25" s="280">
        <v>0</v>
      </c>
      <c r="J25" s="280" t="s">
        <v>538</v>
      </c>
      <c r="K25" s="280" t="s">
        <v>538</v>
      </c>
      <c r="L25" s="280">
        <v>0</v>
      </c>
      <c r="M25" s="280">
        <v>0</v>
      </c>
      <c r="N25" s="280" t="s">
        <v>538</v>
      </c>
      <c r="O25" s="280" t="s">
        <v>538</v>
      </c>
      <c r="P25" s="280">
        <v>0</v>
      </c>
      <c r="Q25" s="280">
        <v>0</v>
      </c>
      <c r="R25" s="280" t="s">
        <v>538</v>
      </c>
      <c r="S25" s="280" t="s">
        <v>538</v>
      </c>
      <c r="T25" s="280">
        <v>0</v>
      </c>
      <c r="U25" s="280">
        <v>0</v>
      </c>
      <c r="V25" s="280" t="s">
        <v>538</v>
      </c>
      <c r="W25" s="280" t="s">
        <v>538</v>
      </c>
      <c r="X25" s="280">
        <v>0</v>
      </c>
      <c r="Y25" s="280">
        <v>0</v>
      </c>
      <c r="Z25" s="280" t="s">
        <v>538</v>
      </c>
      <c r="AA25" s="280" t="s">
        <v>538</v>
      </c>
      <c r="AB25" s="280">
        <f t="shared" ref="AB25:AB64" si="3">X25+T25+P25+L25+H25</f>
        <v>0</v>
      </c>
      <c r="AC25" s="280" t="s">
        <v>538</v>
      </c>
    </row>
    <row r="26" spans="1:32" x14ac:dyDescent="0.25">
      <c r="A26" s="288" t="s">
        <v>174</v>
      </c>
      <c r="B26" s="289" t="s">
        <v>173</v>
      </c>
      <c r="C26" s="280">
        <v>0</v>
      </c>
      <c r="D26" s="280" t="s">
        <v>538</v>
      </c>
      <c r="E26" s="280">
        <f t="shared" si="1"/>
        <v>0</v>
      </c>
      <c r="F26" s="298">
        <f t="shared" si="2"/>
        <v>0</v>
      </c>
      <c r="G26" s="280">
        <v>0</v>
      </c>
      <c r="H26" s="280">
        <v>0</v>
      </c>
      <c r="I26" s="280">
        <v>0</v>
      </c>
      <c r="J26" s="280" t="s">
        <v>538</v>
      </c>
      <c r="K26" s="280" t="s">
        <v>538</v>
      </c>
      <c r="L26" s="280">
        <v>0</v>
      </c>
      <c r="M26" s="280">
        <v>0</v>
      </c>
      <c r="N26" s="280" t="s">
        <v>538</v>
      </c>
      <c r="O26" s="280" t="s">
        <v>538</v>
      </c>
      <c r="P26" s="280">
        <v>0</v>
      </c>
      <c r="Q26" s="280">
        <v>0</v>
      </c>
      <c r="R26" s="280" t="s">
        <v>538</v>
      </c>
      <c r="S26" s="280" t="s">
        <v>538</v>
      </c>
      <c r="T26" s="280">
        <v>0</v>
      </c>
      <c r="U26" s="280">
        <v>0</v>
      </c>
      <c r="V26" s="280" t="s">
        <v>538</v>
      </c>
      <c r="W26" s="280" t="s">
        <v>538</v>
      </c>
      <c r="X26" s="280">
        <v>0</v>
      </c>
      <c r="Y26" s="280">
        <v>0</v>
      </c>
      <c r="Z26" s="280" t="s">
        <v>538</v>
      </c>
      <c r="AA26" s="280" t="s">
        <v>538</v>
      </c>
      <c r="AB26" s="280">
        <f t="shared" si="3"/>
        <v>0</v>
      </c>
      <c r="AC26" s="280" t="s">
        <v>538</v>
      </c>
    </row>
    <row r="27" spans="1:32" ht="31.5" x14ac:dyDescent="0.25">
      <c r="A27" s="288" t="s">
        <v>172</v>
      </c>
      <c r="B27" s="289" t="s">
        <v>356</v>
      </c>
      <c r="C27" s="280">
        <v>46.270399999999995</v>
      </c>
      <c r="D27" s="280" t="s">
        <v>538</v>
      </c>
      <c r="E27" s="280">
        <f t="shared" si="1"/>
        <v>46.270399999999995</v>
      </c>
      <c r="F27" s="298">
        <f t="shared" si="2"/>
        <v>46.270399999999995</v>
      </c>
      <c r="G27" s="280">
        <f>G30-2.5</f>
        <v>23.770399999999999</v>
      </c>
      <c r="H27" s="280">
        <v>4</v>
      </c>
      <c r="I27" s="280">
        <v>0</v>
      </c>
      <c r="J27" s="280" t="s">
        <v>538</v>
      </c>
      <c r="K27" s="280" t="s">
        <v>538</v>
      </c>
      <c r="L27" s="280">
        <v>4</v>
      </c>
      <c r="M27" s="280">
        <v>0</v>
      </c>
      <c r="N27" s="280" t="s">
        <v>538</v>
      </c>
      <c r="O27" s="280" t="s">
        <v>538</v>
      </c>
      <c r="P27" s="280">
        <v>4</v>
      </c>
      <c r="Q27" s="280">
        <v>0</v>
      </c>
      <c r="R27" s="280" t="s">
        <v>538</v>
      </c>
      <c r="S27" s="280" t="s">
        <v>538</v>
      </c>
      <c r="T27" s="280">
        <v>4</v>
      </c>
      <c r="U27" s="280">
        <v>0</v>
      </c>
      <c r="V27" s="280" t="s">
        <v>538</v>
      </c>
      <c r="W27" s="280" t="s">
        <v>538</v>
      </c>
      <c r="X27" s="280">
        <v>4</v>
      </c>
      <c r="Y27" s="280">
        <v>0</v>
      </c>
      <c r="Z27" s="280" t="s">
        <v>538</v>
      </c>
      <c r="AA27" s="280" t="s">
        <v>538</v>
      </c>
      <c r="AB27" s="280">
        <f t="shared" si="3"/>
        <v>20</v>
      </c>
      <c r="AC27" s="280" t="s">
        <v>538</v>
      </c>
    </row>
    <row r="28" spans="1:32" x14ac:dyDescent="0.25">
      <c r="A28" s="288" t="s">
        <v>171</v>
      </c>
      <c r="B28" s="289" t="s">
        <v>539</v>
      </c>
      <c r="C28" s="280">
        <f t="shared" ref="C28:C64" si="4">H28+L28+P28+T28+X28+G28</f>
        <v>0</v>
      </c>
      <c r="D28" s="280" t="s">
        <v>538</v>
      </c>
      <c r="E28" s="280">
        <f t="shared" si="1"/>
        <v>0</v>
      </c>
      <c r="F28" s="298">
        <f t="shared" si="2"/>
        <v>0</v>
      </c>
      <c r="G28" s="280">
        <v>0</v>
      </c>
      <c r="H28" s="280">
        <v>0</v>
      </c>
      <c r="I28" s="280">
        <v>0</v>
      </c>
      <c r="J28" s="280" t="s">
        <v>538</v>
      </c>
      <c r="K28" s="280" t="s">
        <v>538</v>
      </c>
      <c r="L28" s="280">
        <v>0</v>
      </c>
      <c r="M28" s="280">
        <v>0</v>
      </c>
      <c r="N28" s="280" t="s">
        <v>538</v>
      </c>
      <c r="O28" s="280" t="s">
        <v>538</v>
      </c>
      <c r="P28" s="280">
        <v>0</v>
      </c>
      <c r="Q28" s="280">
        <v>0</v>
      </c>
      <c r="R28" s="280" t="s">
        <v>538</v>
      </c>
      <c r="S28" s="280" t="s">
        <v>538</v>
      </c>
      <c r="T28" s="280">
        <v>0</v>
      </c>
      <c r="U28" s="280">
        <v>0</v>
      </c>
      <c r="V28" s="280" t="s">
        <v>538</v>
      </c>
      <c r="W28" s="280" t="s">
        <v>538</v>
      </c>
      <c r="X28" s="280">
        <v>0</v>
      </c>
      <c r="Y28" s="280">
        <v>0</v>
      </c>
      <c r="Z28" s="280" t="s">
        <v>538</v>
      </c>
      <c r="AA28" s="280" t="s">
        <v>538</v>
      </c>
      <c r="AB28" s="280">
        <f t="shared" si="3"/>
        <v>0</v>
      </c>
      <c r="AC28" s="280" t="s">
        <v>538</v>
      </c>
    </row>
    <row r="29" spans="1:32" x14ac:dyDescent="0.25">
      <c r="A29" s="288" t="s">
        <v>169</v>
      </c>
      <c r="B29" s="290" t="s">
        <v>168</v>
      </c>
      <c r="C29" s="280">
        <f t="shared" si="4"/>
        <v>0</v>
      </c>
      <c r="D29" s="280" t="s">
        <v>538</v>
      </c>
      <c r="E29" s="280">
        <f t="shared" si="1"/>
        <v>0</v>
      </c>
      <c r="F29" s="298">
        <f t="shared" si="2"/>
        <v>0</v>
      </c>
      <c r="G29" s="280">
        <v>0</v>
      </c>
      <c r="H29" s="280">
        <v>0</v>
      </c>
      <c r="I29" s="280">
        <v>0</v>
      </c>
      <c r="J29" s="280" t="s">
        <v>538</v>
      </c>
      <c r="K29" s="280" t="s">
        <v>538</v>
      </c>
      <c r="L29" s="280">
        <v>0</v>
      </c>
      <c r="M29" s="280">
        <v>0</v>
      </c>
      <c r="N29" s="280" t="s">
        <v>538</v>
      </c>
      <c r="O29" s="280" t="s">
        <v>538</v>
      </c>
      <c r="P29" s="280">
        <v>0</v>
      </c>
      <c r="Q29" s="280">
        <v>0</v>
      </c>
      <c r="R29" s="280" t="s">
        <v>538</v>
      </c>
      <c r="S29" s="280" t="s">
        <v>538</v>
      </c>
      <c r="T29" s="280">
        <v>0</v>
      </c>
      <c r="U29" s="280">
        <v>0</v>
      </c>
      <c r="V29" s="280" t="s">
        <v>538</v>
      </c>
      <c r="W29" s="280" t="s">
        <v>538</v>
      </c>
      <c r="X29" s="280">
        <v>0</v>
      </c>
      <c r="Y29" s="280">
        <v>0</v>
      </c>
      <c r="Z29" s="280" t="s">
        <v>538</v>
      </c>
      <c r="AA29" s="280" t="s">
        <v>538</v>
      </c>
      <c r="AB29" s="280">
        <f t="shared" si="3"/>
        <v>0</v>
      </c>
      <c r="AC29" s="280" t="s">
        <v>538</v>
      </c>
    </row>
    <row r="30" spans="1:32" ht="47.25" x14ac:dyDescent="0.25">
      <c r="A30" s="288" t="s">
        <v>61</v>
      </c>
      <c r="B30" s="289" t="s">
        <v>167</v>
      </c>
      <c r="C30" s="280">
        <f t="shared" si="4"/>
        <v>42.937066666666666</v>
      </c>
      <c r="D30" s="280" t="s">
        <v>538</v>
      </c>
      <c r="E30" s="280">
        <f t="shared" si="1"/>
        <v>42.937066666666666</v>
      </c>
      <c r="F30" s="298">
        <f t="shared" si="2"/>
        <v>42.937066666666666</v>
      </c>
      <c r="G30" s="280">
        <v>26.270399999999999</v>
      </c>
      <c r="H30" s="280">
        <v>3.3333333333333335</v>
      </c>
      <c r="I30" s="280">
        <v>0</v>
      </c>
      <c r="J30" s="280" t="s">
        <v>538</v>
      </c>
      <c r="K30" s="280" t="s">
        <v>538</v>
      </c>
      <c r="L30" s="280">
        <v>3.3333333333333335</v>
      </c>
      <c r="M30" s="280">
        <v>0</v>
      </c>
      <c r="N30" s="280" t="s">
        <v>538</v>
      </c>
      <c r="O30" s="280" t="s">
        <v>538</v>
      </c>
      <c r="P30" s="280">
        <v>3.3333333333333335</v>
      </c>
      <c r="Q30" s="280">
        <v>0</v>
      </c>
      <c r="R30" s="280" t="s">
        <v>538</v>
      </c>
      <c r="S30" s="280" t="s">
        <v>538</v>
      </c>
      <c r="T30" s="280">
        <v>3.3333333333333335</v>
      </c>
      <c r="U30" s="280">
        <v>0</v>
      </c>
      <c r="V30" s="280" t="s">
        <v>538</v>
      </c>
      <c r="W30" s="280" t="s">
        <v>538</v>
      </c>
      <c r="X30" s="280">
        <v>3.3333333333333335</v>
      </c>
      <c r="Y30" s="280">
        <v>0</v>
      </c>
      <c r="Z30" s="280" t="s">
        <v>538</v>
      </c>
      <c r="AA30" s="280" t="s">
        <v>538</v>
      </c>
      <c r="AB30" s="280">
        <f t="shared" si="3"/>
        <v>16.666666666666668</v>
      </c>
      <c r="AC30" s="280" t="s">
        <v>538</v>
      </c>
    </row>
    <row r="31" spans="1:32" x14ac:dyDescent="0.25">
      <c r="A31" s="288" t="s">
        <v>166</v>
      </c>
      <c r="B31" s="289" t="s">
        <v>165</v>
      </c>
      <c r="C31" s="280">
        <f t="shared" si="4"/>
        <v>0</v>
      </c>
      <c r="D31" s="280" t="s">
        <v>538</v>
      </c>
      <c r="E31" s="280">
        <f t="shared" si="1"/>
        <v>0</v>
      </c>
      <c r="F31" s="298">
        <f t="shared" si="2"/>
        <v>0</v>
      </c>
      <c r="G31" s="280">
        <v>0</v>
      </c>
      <c r="H31" s="280">
        <v>0</v>
      </c>
      <c r="I31" s="280">
        <v>0</v>
      </c>
      <c r="J31" s="280" t="s">
        <v>538</v>
      </c>
      <c r="K31" s="280" t="s">
        <v>538</v>
      </c>
      <c r="L31" s="280">
        <v>0</v>
      </c>
      <c r="M31" s="280">
        <v>0</v>
      </c>
      <c r="N31" s="280" t="s">
        <v>538</v>
      </c>
      <c r="O31" s="280" t="s">
        <v>538</v>
      </c>
      <c r="P31" s="280">
        <v>0</v>
      </c>
      <c r="Q31" s="280">
        <v>0</v>
      </c>
      <c r="R31" s="280" t="s">
        <v>538</v>
      </c>
      <c r="S31" s="280" t="s">
        <v>538</v>
      </c>
      <c r="T31" s="280">
        <v>0</v>
      </c>
      <c r="U31" s="280">
        <v>0</v>
      </c>
      <c r="V31" s="280" t="s">
        <v>538</v>
      </c>
      <c r="W31" s="280" t="s">
        <v>538</v>
      </c>
      <c r="X31" s="280">
        <v>0</v>
      </c>
      <c r="Y31" s="280">
        <v>0</v>
      </c>
      <c r="Z31" s="280" t="s">
        <v>538</v>
      </c>
      <c r="AA31" s="280" t="s">
        <v>538</v>
      </c>
      <c r="AB31" s="280">
        <f t="shared" si="3"/>
        <v>0</v>
      </c>
      <c r="AC31" s="280" t="s">
        <v>538</v>
      </c>
    </row>
    <row r="32" spans="1:32" ht="31.5" x14ac:dyDescent="0.25">
      <c r="A32" s="288" t="s">
        <v>164</v>
      </c>
      <c r="B32" s="289" t="s">
        <v>163</v>
      </c>
      <c r="C32" s="280">
        <f t="shared" si="4"/>
        <v>10.460400000000002</v>
      </c>
      <c r="D32" s="280" t="s">
        <v>538</v>
      </c>
      <c r="E32" s="280">
        <f t="shared" si="1"/>
        <v>10.460400000000002</v>
      </c>
      <c r="F32" s="298">
        <f t="shared" si="2"/>
        <v>10.460400000000002</v>
      </c>
      <c r="G32" s="280">
        <f>G30-G33</f>
        <v>10.460400000000002</v>
      </c>
      <c r="H32" s="280">
        <v>0</v>
      </c>
      <c r="I32" s="280">
        <v>0</v>
      </c>
      <c r="J32" s="280" t="s">
        <v>538</v>
      </c>
      <c r="K32" s="280" t="s">
        <v>538</v>
      </c>
      <c r="L32" s="280">
        <v>0</v>
      </c>
      <c r="M32" s="280">
        <v>0</v>
      </c>
      <c r="N32" s="280" t="s">
        <v>538</v>
      </c>
      <c r="O32" s="280" t="s">
        <v>538</v>
      </c>
      <c r="P32" s="280">
        <v>0</v>
      </c>
      <c r="Q32" s="280">
        <v>0</v>
      </c>
      <c r="R32" s="280" t="s">
        <v>538</v>
      </c>
      <c r="S32" s="280" t="s">
        <v>538</v>
      </c>
      <c r="T32" s="280">
        <v>0</v>
      </c>
      <c r="U32" s="280">
        <v>0</v>
      </c>
      <c r="V32" s="280" t="s">
        <v>538</v>
      </c>
      <c r="W32" s="280" t="s">
        <v>538</v>
      </c>
      <c r="X32" s="280">
        <v>0</v>
      </c>
      <c r="Y32" s="280">
        <v>0</v>
      </c>
      <c r="Z32" s="280" t="s">
        <v>538</v>
      </c>
      <c r="AA32" s="280" t="s">
        <v>538</v>
      </c>
      <c r="AB32" s="280">
        <f t="shared" si="3"/>
        <v>0</v>
      </c>
      <c r="AC32" s="280" t="s">
        <v>538</v>
      </c>
    </row>
    <row r="33" spans="1:29" x14ac:dyDescent="0.25">
      <c r="A33" s="288" t="s">
        <v>162</v>
      </c>
      <c r="B33" s="289" t="s">
        <v>161</v>
      </c>
      <c r="C33" s="280">
        <f t="shared" si="4"/>
        <v>32.476666666666667</v>
      </c>
      <c r="D33" s="280" t="s">
        <v>538</v>
      </c>
      <c r="E33" s="280">
        <f t="shared" si="1"/>
        <v>32.476666666666667</v>
      </c>
      <c r="F33" s="298">
        <f t="shared" si="2"/>
        <v>32.476666666666667</v>
      </c>
      <c r="G33" s="280">
        <v>15.809999999999997</v>
      </c>
      <c r="H33" s="280">
        <v>3.3333333333333335</v>
      </c>
      <c r="I33" s="280">
        <v>0</v>
      </c>
      <c r="J33" s="280" t="s">
        <v>538</v>
      </c>
      <c r="K33" s="280" t="s">
        <v>538</v>
      </c>
      <c r="L33" s="280">
        <v>3.3333333333333335</v>
      </c>
      <c r="M33" s="280">
        <v>0</v>
      </c>
      <c r="N33" s="280" t="s">
        <v>538</v>
      </c>
      <c r="O33" s="280" t="s">
        <v>538</v>
      </c>
      <c r="P33" s="280">
        <v>3.3333333333333335</v>
      </c>
      <c r="Q33" s="280">
        <v>0</v>
      </c>
      <c r="R33" s="280" t="s">
        <v>538</v>
      </c>
      <c r="S33" s="280" t="s">
        <v>538</v>
      </c>
      <c r="T33" s="280">
        <v>3.3333333333333335</v>
      </c>
      <c r="U33" s="280">
        <v>0</v>
      </c>
      <c r="V33" s="280" t="s">
        <v>538</v>
      </c>
      <c r="W33" s="280" t="s">
        <v>538</v>
      </c>
      <c r="X33" s="280">
        <v>3.3333333333333335</v>
      </c>
      <c r="Y33" s="280">
        <v>0</v>
      </c>
      <c r="Z33" s="280" t="s">
        <v>538</v>
      </c>
      <c r="AA33" s="280" t="s">
        <v>538</v>
      </c>
      <c r="AB33" s="280">
        <f t="shared" si="3"/>
        <v>16.666666666666668</v>
      </c>
      <c r="AC33" s="280" t="s">
        <v>538</v>
      </c>
    </row>
    <row r="34" spans="1:29" x14ac:dyDescent="0.25">
      <c r="A34" s="288" t="s">
        <v>160</v>
      </c>
      <c r="B34" s="289" t="s">
        <v>159</v>
      </c>
      <c r="C34" s="280">
        <f t="shared" si="4"/>
        <v>0</v>
      </c>
      <c r="D34" s="280" t="s">
        <v>538</v>
      </c>
      <c r="E34" s="280">
        <f t="shared" si="1"/>
        <v>0</v>
      </c>
      <c r="F34" s="298">
        <f t="shared" si="2"/>
        <v>0</v>
      </c>
      <c r="G34" s="280">
        <v>0</v>
      </c>
      <c r="H34" s="280">
        <v>0</v>
      </c>
      <c r="I34" s="280">
        <v>0</v>
      </c>
      <c r="J34" s="280" t="s">
        <v>538</v>
      </c>
      <c r="K34" s="280" t="s">
        <v>538</v>
      </c>
      <c r="L34" s="280">
        <v>0</v>
      </c>
      <c r="M34" s="280">
        <v>0</v>
      </c>
      <c r="N34" s="280" t="s">
        <v>538</v>
      </c>
      <c r="O34" s="280" t="s">
        <v>538</v>
      </c>
      <c r="P34" s="280">
        <v>0</v>
      </c>
      <c r="Q34" s="280">
        <v>0</v>
      </c>
      <c r="R34" s="280" t="s">
        <v>538</v>
      </c>
      <c r="S34" s="280" t="s">
        <v>538</v>
      </c>
      <c r="T34" s="280">
        <v>0</v>
      </c>
      <c r="U34" s="280">
        <v>0</v>
      </c>
      <c r="V34" s="280" t="s">
        <v>538</v>
      </c>
      <c r="W34" s="280" t="s">
        <v>538</v>
      </c>
      <c r="X34" s="280">
        <v>0</v>
      </c>
      <c r="Y34" s="280">
        <v>0</v>
      </c>
      <c r="Z34" s="280" t="s">
        <v>538</v>
      </c>
      <c r="AA34" s="280" t="s">
        <v>538</v>
      </c>
      <c r="AB34" s="280">
        <f t="shared" si="3"/>
        <v>0</v>
      </c>
      <c r="AC34" s="280" t="s">
        <v>538</v>
      </c>
    </row>
    <row r="35" spans="1:29" ht="31.5" x14ac:dyDescent="0.25">
      <c r="A35" s="288" t="s">
        <v>60</v>
      </c>
      <c r="B35" s="289" t="s">
        <v>158</v>
      </c>
      <c r="C35" s="280">
        <f t="shared" si="4"/>
        <v>0</v>
      </c>
      <c r="D35" s="280" t="s">
        <v>538</v>
      </c>
      <c r="E35" s="280">
        <f t="shared" si="1"/>
        <v>0</v>
      </c>
      <c r="F35" s="298">
        <f t="shared" si="2"/>
        <v>0</v>
      </c>
      <c r="G35" s="280">
        <v>0</v>
      </c>
      <c r="H35" s="280">
        <v>0</v>
      </c>
      <c r="I35" s="280">
        <v>0</v>
      </c>
      <c r="J35" s="280" t="s">
        <v>538</v>
      </c>
      <c r="K35" s="280" t="s">
        <v>538</v>
      </c>
      <c r="L35" s="280">
        <v>0</v>
      </c>
      <c r="M35" s="280">
        <v>0</v>
      </c>
      <c r="N35" s="280" t="s">
        <v>538</v>
      </c>
      <c r="O35" s="280" t="s">
        <v>538</v>
      </c>
      <c r="P35" s="280">
        <v>0</v>
      </c>
      <c r="Q35" s="280">
        <v>0</v>
      </c>
      <c r="R35" s="280" t="s">
        <v>538</v>
      </c>
      <c r="S35" s="280" t="s">
        <v>538</v>
      </c>
      <c r="T35" s="280">
        <v>0</v>
      </c>
      <c r="U35" s="280">
        <v>0</v>
      </c>
      <c r="V35" s="280" t="s">
        <v>538</v>
      </c>
      <c r="W35" s="280" t="s">
        <v>538</v>
      </c>
      <c r="X35" s="280">
        <v>0</v>
      </c>
      <c r="Y35" s="280">
        <v>0</v>
      </c>
      <c r="Z35" s="280" t="s">
        <v>538</v>
      </c>
      <c r="AA35" s="280" t="s">
        <v>538</v>
      </c>
      <c r="AB35" s="280">
        <f t="shared" si="3"/>
        <v>0</v>
      </c>
      <c r="AC35" s="280" t="s">
        <v>538</v>
      </c>
    </row>
    <row r="36" spans="1:29" ht="31.5" x14ac:dyDescent="0.25">
      <c r="A36" s="288" t="s">
        <v>157</v>
      </c>
      <c r="B36" s="278" t="s">
        <v>156</v>
      </c>
      <c r="C36" s="280">
        <f t="shared" si="4"/>
        <v>0</v>
      </c>
      <c r="D36" s="280" t="s">
        <v>538</v>
      </c>
      <c r="E36" s="280">
        <f t="shared" si="1"/>
        <v>0</v>
      </c>
      <c r="F36" s="298">
        <f t="shared" si="2"/>
        <v>0</v>
      </c>
      <c r="G36" s="280">
        <v>0</v>
      </c>
      <c r="H36" s="280">
        <v>0</v>
      </c>
      <c r="I36" s="280">
        <v>0</v>
      </c>
      <c r="J36" s="280" t="s">
        <v>538</v>
      </c>
      <c r="K36" s="280" t="s">
        <v>538</v>
      </c>
      <c r="L36" s="280">
        <v>0</v>
      </c>
      <c r="M36" s="280">
        <v>0</v>
      </c>
      <c r="N36" s="280" t="s">
        <v>538</v>
      </c>
      <c r="O36" s="280" t="s">
        <v>538</v>
      </c>
      <c r="P36" s="280">
        <v>0</v>
      </c>
      <c r="Q36" s="280">
        <v>0</v>
      </c>
      <c r="R36" s="280" t="s">
        <v>538</v>
      </c>
      <c r="S36" s="280" t="s">
        <v>538</v>
      </c>
      <c r="T36" s="280">
        <v>0</v>
      </c>
      <c r="U36" s="280">
        <v>0</v>
      </c>
      <c r="V36" s="280" t="s">
        <v>538</v>
      </c>
      <c r="W36" s="280" t="s">
        <v>538</v>
      </c>
      <c r="X36" s="280">
        <v>0</v>
      </c>
      <c r="Y36" s="280">
        <v>0</v>
      </c>
      <c r="Z36" s="280" t="s">
        <v>538</v>
      </c>
      <c r="AA36" s="280" t="s">
        <v>538</v>
      </c>
      <c r="AB36" s="280">
        <f t="shared" si="3"/>
        <v>0</v>
      </c>
      <c r="AC36" s="280" t="s">
        <v>538</v>
      </c>
    </row>
    <row r="37" spans="1:29" x14ac:dyDescent="0.25">
      <c r="A37" s="288" t="s">
        <v>155</v>
      </c>
      <c r="B37" s="278" t="s">
        <v>145</v>
      </c>
      <c r="C37" s="280">
        <f t="shared" si="4"/>
        <v>3.45</v>
      </c>
      <c r="D37" s="280" t="s">
        <v>538</v>
      </c>
      <c r="E37" s="280">
        <f t="shared" si="1"/>
        <v>3.45</v>
      </c>
      <c r="F37" s="298">
        <f t="shared" si="2"/>
        <v>3.45</v>
      </c>
      <c r="G37" s="280">
        <v>3.45</v>
      </c>
      <c r="H37" s="280">
        <v>0</v>
      </c>
      <c r="I37" s="280">
        <v>0</v>
      </c>
      <c r="J37" s="280" t="s">
        <v>538</v>
      </c>
      <c r="K37" s="280" t="s">
        <v>538</v>
      </c>
      <c r="L37" s="280">
        <v>0</v>
      </c>
      <c r="M37" s="280">
        <v>0</v>
      </c>
      <c r="N37" s="280" t="s">
        <v>538</v>
      </c>
      <c r="O37" s="280" t="s">
        <v>538</v>
      </c>
      <c r="P37" s="280">
        <v>0</v>
      </c>
      <c r="Q37" s="280">
        <v>0</v>
      </c>
      <c r="R37" s="280" t="s">
        <v>538</v>
      </c>
      <c r="S37" s="280" t="s">
        <v>538</v>
      </c>
      <c r="T37" s="280">
        <v>0</v>
      </c>
      <c r="U37" s="280">
        <v>0</v>
      </c>
      <c r="V37" s="280" t="s">
        <v>538</v>
      </c>
      <c r="W37" s="280" t="s">
        <v>538</v>
      </c>
      <c r="X37" s="280">
        <v>0</v>
      </c>
      <c r="Y37" s="280">
        <v>0</v>
      </c>
      <c r="Z37" s="280" t="s">
        <v>538</v>
      </c>
      <c r="AA37" s="280" t="s">
        <v>538</v>
      </c>
      <c r="AB37" s="280">
        <f t="shared" si="3"/>
        <v>0</v>
      </c>
      <c r="AC37" s="280" t="s">
        <v>538</v>
      </c>
    </row>
    <row r="38" spans="1:29" x14ac:dyDescent="0.25">
      <c r="A38" s="288" t="s">
        <v>154</v>
      </c>
      <c r="B38" s="278" t="s">
        <v>143</v>
      </c>
      <c r="C38" s="280">
        <f t="shared" si="4"/>
        <v>0</v>
      </c>
      <c r="D38" s="280" t="s">
        <v>538</v>
      </c>
      <c r="E38" s="280">
        <f t="shared" si="1"/>
        <v>0</v>
      </c>
      <c r="F38" s="298">
        <f t="shared" si="2"/>
        <v>0</v>
      </c>
      <c r="G38" s="280">
        <v>0</v>
      </c>
      <c r="H38" s="280">
        <v>0</v>
      </c>
      <c r="I38" s="280">
        <v>0</v>
      </c>
      <c r="J38" s="280" t="s">
        <v>538</v>
      </c>
      <c r="K38" s="280" t="s">
        <v>538</v>
      </c>
      <c r="L38" s="280">
        <v>0</v>
      </c>
      <c r="M38" s="280">
        <v>0</v>
      </c>
      <c r="N38" s="280" t="s">
        <v>538</v>
      </c>
      <c r="O38" s="280" t="s">
        <v>538</v>
      </c>
      <c r="P38" s="280">
        <v>0</v>
      </c>
      <c r="Q38" s="280">
        <v>0</v>
      </c>
      <c r="R38" s="280" t="s">
        <v>538</v>
      </c>
      <c r="S38" s="280" t="s">
        <v>538</v>
      </c>
      <c r="T38" s="280">
        <v>0</v>
      </c>
      <c r="U38" s="280">
        <v>0</v>
      </c>
      <c r="V38" s="280" t="s">
        <v>538</v>
      </c>
      <c r="W38" s="280" t="s">
        <v>538</v>
      </c>
      <c r="X38" s="280">
        <v>0</v>
      </c>
      <c r="Y38" s="280">
        <v>0</v>
      </c>
      <c r="Z38" s="280" t="s">
        <v>538</v>
      </c>
      <c r="AA38" s="280" t="s">
        <v>538</v>
      </c>
      <c r="AB38" s="280">
        <f t="shared" si="3"/>
        <v>0</v>
      </c>
      <c r="AC38" s="280" t="s">
        <v>538</v>
      </c>
    </row>
    <row r="39" spans="1:29" ht="31.5" x14ac:dyDescent="0.25">
      <c r="A39" s="288" t="s">
        <v>153</v>
      </c>
      <c r="B39" s="289" t="s">
        <v>141</v>
      </c>
      <c r="C39" s="280">
        <f t="shared" si="4"/>
        <v>16.036999999999999</v>
      </c>
      <c r="D39" s="280" t="s">
        <v>538</v>
      </c>
      <c r="E39" s="280">
        <f t="shared" si="1"/>
        <v>16.036999999999999</v>
      </c>
      <c r="F39" s="298">
        <f t="shared" si="2"/>
        <v>16.036999999999999</v>
      </c>
      <c r="G39" s="280">
        <v>16.036999999999999</v>
      </c>
      <c r="H39" s="280">
        <v>0</v>
      </c>
      <c r="I39" s="280">
        <v>0</v>
      </c>
      <c r="J39" s="280" t="s">
        <v>538</v>
      </c>
      <c r="K39" s="280" t="s">
        <v>538</v>
      </c>
      <c r="L39" s="280">
        <v>0</v>
      </c>
      <c r="M39" s="280">
        <v>0</v>
      </c>
      <c r="N39" s="280" t="s">
        <v>538</v>
      </c>
      <c r="O39" s="280" t="s">
        <v>538</v>
      </c>
      <c r="P39" s="280">
        <v>0</v>
      </c>
      <c r="Q39" s="280">
        <v>0</v>
      </c>
      <c r="R39" s="280" t="s">
        <v>538</v>
      </c>
      <c r="S39" s="280" t="s">
        <v>538</v>
      </c>
      <c r="T39" s="280">
        <v>0</v>
      </c>
      <c r="U39" s="280">
        <v>0</v>
      </c>
      <c r="V39" s="280" t="s">
        <v>538</v>
      </c>
      <c r="W39" s="280" t="s">
        <v>538</v>
      </c>
      <c r="X39" s="280">
        <v>0</v>
      </c>
      <c r="Y39" s="280">
        <v>0</v>
      </c>
      <c r="Z39" s="280" t="s">
        <v>538</v>
      </c>
      <c r="AA39" s="280" t="s">
        <v>538</v>
      </c>
      <c r="AB39" s="280">
        <f t="shared" si="3"/>
        <v>0</v>
      </c>
      <c r="AC39" s="280" t="s">
        <v>538</v>
      </c>
    </row>
    <row r="40" spans="1:29" ht="31.5" x14ac:dyDescent="0.25">
      <c r="A40" s="288" t="s">
        <v>152</v>
      </c>
      <c r="B40" s="289" t="s">
        <v>139</v>
      </c>
      <c r="C40" s="280">
        <f t="shared" si="4"/>
        <v>0</v>
      </c>
      <c r="D40" s="280" t="s">
        <v>538</v>
      </c>
      <c r="E40" s="280">
        <f t="shared" si="1"/>
        <v>0</v>
      </c>
      <c r="F40" s="298">
        <f t="shared" si="2"/>
        <v>0</v>
      </c>
      <c r="G40" s="280">
        <v>0</v>
      </c>
      <c r="H40" s="280">
        <v>0</v>
      </c>
      <c r="I40" s="280">
        <v>0</v>
      </c>
      <c r="J40" s="280" t="s">
        <v>538</v>
      </c>
      <c r="K40" s="280" t="s">
        <v>538</v>
      </c>
      <c r="L40" s="280">
        <v>0</v>
      </c>
      <c r="M40" s="280">
        <v>0</v>
      </c>
      <c r="N40" s="280" t="s">
        <v>538</v>
      </c>
      <c r="O40" s="280" t="s">
        <v>538</v>
      </c>
      <c r="P40" s="280">
        <v>0</v>
      </c>
      <c r="Q40" s="280">
        <v>0</v>
      </c>
      <c r="R40" s="280" t="s">
        <v>538</v>
      </c>
      <c r="S40" s="280" t="s">
        <v>538</v>
      </c>
      <c r="T40" s="280">
        <v>0</v>
      </c>
      <c r="U40" s="280">
        <v>0</v>
      </c>
      <c r="V40" s="280" t="s">
        <v>538</v>
      </c>
      <c r="W40" s="280" t="s">
        <v>538</v>
      </c>
      <c r="X40" s="280">
        <v>0</v>
      </c>
      <c r="Y40" s="280">
        <v>0</v>
      </c>
      <c r="Z40" s="280" t="s">
        <v>538</v>
      </c>
      <c r="AA40" s="280" t="s">
        <v>538</v>
      </c>
      <c r="AB40" s="280">
        <f t="shared" si="3"/>
        <v>0</v>
      </c>
      <c r="AC40" s="280" t="s">
        <v>538</v>
      </c>
    </row>
    <row r="41" spans="1:29" x14ac:dyDescent="0.25">
      <c r="A41" s="288" t="s">
        <v>151</v>
      </c>
      <c r="B41" s="289" t="s">
        <v>137</v>
      </c>
      <c r="C41" s="280">
        <f t="shared" si="4"/>
        <v>11.385</v>
      </c>
      <c r="D41" s="280" t="s">
        <v>538</v>
      </c>
      <c r="E41" s="280">
        <f t="shared" si="1"/>
        <v>11.385</v>
      </c>
      <c r="F41" s="298">
        <f t="shared" si="2"/>
        <v>11.385</v>
      </c>
      <c r="G41" s="280">
        <f>11.385</f>
        <v>11.385</v>
      </c>
      <c r="H41" s="280">
        <v>0</v>
      </c>
      <c r="I41" s="280">
        <v>0</v>
      </c>
      <c r="J41" s="280" t="s">
        <v>538</v>
      </c>
      <c r="K41" s="280" t="s">
        <v>538</v>
      </c>
      <c r="L41" s="280">
        <v>0</v>
      </c>
      <c r="M41" s="280">
        <v>0</v>
      </c>
      <c r="N41" s="280" t="s">
        <v>538</v>
      </c>
      <c r="O41" s="280" t="s">
        <v>538</v>
      </c>
      <c r="P41" s="280">
        <v>0</v>
      </c>
      <c r="Q41" s="280">
        <v>0</v>
      </c>
      <c r="R41" s="280" t="s">
        <v>538</v>
      </c>
      <c r="S41" s="280" t="s">
        <v>538</v>
      </c>
      <c r="T41" s="280">
        <v>0</v>
      </c>
      <c r="U41" s="280">
        <v>0</v>
      </c>
      <c r="V41" s="280" t="s">
        <v>538</v>
      </c>
      <c r="W41" s="280" t="s">
        <v>538</v>
      </c>
      <c r="X41" s="280">
        <v>0</v>
      </c>
      <c r="Y41" s="280">
        <v>0</v>
      </c>
      <c r="Z41" s="280" t="s">
        <v>538</v>
      </c>
      <c r="AA41" s="280" t="s">
        <v>538</v>
      </c>
      <c r="AB41" s="280">
        <f t="shared" si="3"/>
        <v>0</v>
      </c>
      <c r="AC41" s="280" t="s">
        <v>538</v>
      </c>
    </row>
    <row r="42" spans="1:29" ht="18.75" x14ac:dyDescent="0.25">
      <c r="A42" s="288" t="s">
        <v>150</v>
      </c>
      <c r="B42" s="278" t="s">
        <v>547</v>
      </c>
      <c r="C42" s="280">
        <f t="shared" si="4"/>
        <v>0</v>
      </c>
      <c r="D42" s="280" t="s">
        <v>538</v>
      </c>
      <c r="E42" s="280">
        <f t="shared" si="1"/>
        <v>0</v>
      </c>
      <c r="F42" s="298">
        <f t="shared" si="2"/>
        <v>0</v>
      </c>
      <c r="G42" s="280">
        <v>0</v>
      </c>
      <c r="H42" s="280">
        <v>0</v>
      </c>
      <c r="I42" s="280">
        <v>0</v>
      </c>
      <c r="J42" s="280" t="s">
        <v>538</v>
      </c>
      <c r="K42" s="280" t="s">
        <v>538</v>
      </c>
      <c r="L42" s="280">
        <v>0</v>
      </c>
      <c r="M42" s="280">
        <v>0</v>
      </c>
      <c r="N42" s="280" t="s">
        <v>538</v>
      </c>
      <c r="O42" s="280" t="s">
        <v>538</v>
      </c>
      <c r="P42" s="280">
        <v>0</v>
      </c>
      <c r="Q42" s="280">
        <v>0</v>
      </c>
      <c r="R42" s="280" t="s">
        <v>538</v>
      </c>
      <c r="S42" s="280" t="s">
        <v>538</v>
      </c>
      <c r="T42" s="280">
        <v>0</v>
      </c>
      <c r="U42" s="280">
        <v>0</v>
      </c>
      <c r="V42" s="280" t="s">
        <v>538</v>
      </c>
      <c r="W42" s="280" t="s">
        <v>538</v>
      </c>
      <c r="X42" s="280">
        <v>0</v>
      </c>
      <c r="Y42" s="280">
        <v>0</v>
      </c>
      <c r="Z42" s="280" t="s">
        <v>538</v>
      </c>
      <c r="AA42" s="280" t="s">
        <v>538</v>
      </c>
      <c r="AB42" s="280">
        <f t="shared" si="3"/>
        <v>0</v>
      </c>
      <c r="AC42" s="280" t="s">
        <v>538</v>
      </c>
    </row>
    <row r="43" spans="1:29" x14ac:dyDescent="0.25">
      <c r="A43" s="288" t="s">
        <v>59</v>
      </c>
      <c r="B43" s="289" t="s">
        <v>149</v>
      </c>
      <c r="C43" s="280">
        <f t="shared" si="4"/>
        <v>0</v>
      </c>
      <c r="D43" s="280" t="s">
        <v>538</v>
      </c>
      <c r="E43" s="280">
        <f t="shared" si="1"/>
        <v>0</v>
      </c>
      <c r="F43" s="298">
        <f t="shared" si="2"/>
        <v>0</v>
      </c>
      <c r="G43" s="280">
        <v>0</v>
      </c>
      <c r="H43" s="280">
        <v>0</v>
      </c>
      <c r="I43" s="280">
        <v>0</v>
      </c>
      <c r="J43" s="280" t="s">
        <v>538</v>
      </c>
      <c r="K43" s="280" t="s">
        <v>538</v>
      </c>
      <c r="L43" s="280">
        <v>0</v>
      </c>
      <c r="M43" s="280">
        <v>0</v>
      </c>
      <c r="N43" s="280" t="s">
        <v>538</v>
      </c>
      <c r="O43" s="280" t="s">
        <v>538</v>
      </c>
      <c r="P43" s="280">
        <v>0</v>
      </c>
      <c r="Q43" s="280">
        <v>0</v>
      </c>
      <c r="R43" s="280" t="s">
        <v>538</v>
      </c>
      <c r="S43" s="280" t="s">
        <v>538</v>
      </c>
      <c r="T43" s="280">
        <v>0</v>
      </c>
      <c r="U43" s="280">
        <v>0</v>
      </c>
      <c r="V43" s="280" t="s">
        <v>538</v>
      </c>
      <c r="W43" s="280" t="s">
        <v>538</v>
      </c>
      <c r="X43" s="280">
        <v>0</v>
      </c>
      <c r="Y43" s="280">
        <v>0</v>
      </c>
      <c r="Z43" s="280" t="s">
        <v>538</v>
      </c>
      <c r="AA43" s="280" t="s">
        <v>538</v>
      </c>
      <c r="AB43" s="280">
        <f t="shared" si="3"/>
        <v>0</v>
      </c>
      <c r="AC43" s="280" t="s">
        <v>538</v>
      </c>
    </row>
    <row r="44" spans="1:29" x14ac:dyDescent="0.25">
      <c r="A44" s="288" t="s">
        <v>148</v>
      </c>
      <c r="B44" s="289" t="s">
        <v>147</v>
      </c>
      <c r="C44" s="280">
        <f t="shared" si="4"/>
        <v>0</v>
      </c>
      <c r="D44" s="280" t="s">
        <v>538</v>
      </c>
      <c r="E44" s="280">
        <f t="shared" si="1"/>
        <v>0</v>
      </c>
      <c r="F44" s="298">
        <f t="shared" si="2"/>
        <v>0</v>
      </c>
      <c r="G44" s="280">
        <v>0</v>
      </c>
      <c r="H44" s="280">
        <v>0</v>
      </c>
      <c r="I44" s="280">
        <v>0</v>
      </c>
      <c r="J44" s="280" t="s">
        <v>538</v>
      </c>
      <c r="K44" s="280" t="s">
        <v>538</v>
      </c>
      <c r="L44" s="280">
        <v>0</v>
      </c>
      <c r="M44" s="280">
        <v>0</v>
      </c>
      <c r="N44" s="280" t="s">
        <v>538</v>
      </c>
      <c r="O44" s="280" t="s">
        <v>538</v>
      </c>
      <c r="P44" s="280">
        <v>0</v>
      </c>
      <c r="Q44" s="280">
        <v>0</v>
      </c>
      <c r="R44" s="280" t="s">
        <v>538</v>
      </c>
      <c r="S44" s="280" t="s">
        <v>538</v>
      </c>
      <c r="T44" s="280">
        <v>0</v>
      </c>
      <c r="U44" s="280">
        <v>0</v>
      </c>
      <c r="V44" s="280" t="s">
        <v>538</v>
      </c>
      <c r="W44" s="280" t="s">
        <v>538</v>
      </c>
      <c r="X44" s="280">
        <v>0</v>
      </c>
      <c r="Y44" s="280">
        <v>0</v>
      </c>
      <c r="Z44" s="280" t="s">
        <v>538</v>
      </c>
      <c r="AA44" s="280" t="s">
        <v>538</v>
      </c>
      <c r="AB44" s="280">
        <f t="shared" si="3"/>
        <v>0</v>
      </c>
      <c r="AC44" s="280" t="s">
        <v>538</v>
      </c>
    </row>
    <row r="45" spans="1:29" x14ac:dyDescent="0.25">
      <c r="A45" s="288" t="s">
        <v>146</v>
      </c>
      <c r="B45" s="289" t="s">
        <v>145</v>
      </c>
      <c r="C45" s="280">
        <f t="shared" si="4"/>
        <v>3.45</v>
      </c>
      <c r="D45" s="280" t="s">
        <v>538</v>
      </c>
      <c r="E45" s="280">
        <f t="shared" si="1"/>
        <v>3.45</v>
      </c>
      <c r="F45" s="298">
        <f t="shared" si="2"/>
        <v>3.45</v>
      </c>
      <c r="G45" s="280">
        <f>G37</f>
        <v>3.45</v>
      </c>
      <c r="H45" s="280">
        <v>0</v>
      </c>
      <c r="I45" s="280">
        <v>0</v>
      </c>
      <c r="J45" s="280" t="s">
        <v>538</v>
      </c>
      <c r="K45" s="280" t="s">
        <v>538</v>
      </c>
      <c r="L45" s="280">
        <v>0</v>
      </c>
      <c r="M45" s="280">
        <v>0</v>
      </c>
      <c r="N45" s="280" t="s">
        <v>538</v>
      </c>
      <c r="O45" s="280" t="s">
        <v>538</v>
      </c>
      <c r="P45" s="280">
        <v>0</v>
      </c>
      <c r="Q45" s="280">
        <v>0</v>
      </c>
      <c r="R45" s="280" t="s">
        <v>538</v>
      </c>
      <c r="S45" s="280" t="s">
        <v>538</v>
      </c>
      <c r="T45" s="280">
        <v>0</v>
      </c>
      <c r="U45" s="280">
        <v>0</v>
      </c>
      <c r="V45" s="280" t="s">
        <v>538</v>
      </c>
      <c r="W45" s="280" t="s">
        <v>538</v>
      </c>
      <c r="X45" s="280">
        <v>0</v>
      </c>
      <c r="Y45" s="280">
        <v>0</v>
      </c>
      <c r="Z45" s="280" t="s">
        <v>538</v>
      </c>
      <c r="AA45" s="280" t="s">
        <v>538</v>
      </c>
      <c r="AB45" s="280">
        <f t="shared" si="3"/>
        <v>0</v>
      </c>
      <c r="AC45" s="280" t="s">
        <v>538</v>
      </c>
    </row>
    <row r="46" spans="1:29" x14ac:dyDescent="0.25">
      <c r="A46" s="288" t="s">
        <v>144</v>
      </c>
      <c r="B46" s="289" t="s">
        <v>143</v>
      </c>
      <c r="C46" s="280">
        <f t="shared" si="4"/>
        <v>0</v>
      </c>
      <c r="D46" s="280" t="s">
        <v>538</v>
      </c>
      <c r="E46" s="280">
        <f t="shared" si="1"/>
        <v>0</v>
      </c>
      <c r="F46" s="298">
        <f t="shared" si="2"/>
        <v>0</v>
      </c>
      <c r="G46" s="280">
        <f t="shared" ref="G46:G49" si="5">G38</f>
        <v>0</v>
      </c>
      <c r="H46" s="280">
        <v>0</v>
      </c>
      <c r="I46" s="280">
        <v>0</v>
      </c>
      <c r="J46" s="280" t="s">
        <v>538</v>
      </c>
      <c r="K46" s="280" t="s">
        <v>538</v>
      </c>
      <c r="L46" s="280">
        <v>0</v>
      </c>
      <c r="M46" s="280">
        <v>0</v>
      </c>
      <c r="N46" s="280" t="s">
        <v>538</v>
      </c>
      <c r="O46" s="280" t="s">
        <v>538</v>
      </c>
      <c r="P46" s="280">
        <v>0</v>
      </c>
      <c r="Q46" s="280">
        <v>0</v>
      </c>
      <c r="R46" s="280" t="s">
        <v>538</v>
      </c>
      <c r="S46" s="280" t="s">
        <v>538</v>
      </c>
      <c r="T46" s="280">
        <v>0</v>
      </c>
      <c r="U46" s="280">
        <v>0</v>
      </c>
      <c r="V46" s="280" t="s">
        <v>538</v>
      </c>
      <c r="W46" s="280" t="s">
        <v>538</v>
      </c>
      <c r="X46" s="280">
        <v>0</v>
      </c>
      <c r="Y46" s="280">
        <v>0</v>
      </c>
      <c r="Z46" s="280" t="s">
        <v>538</v>
      </c>
      <c r="AA46" s="280" t="s">
        <v>538</v>
      </c>
      <c r="AB46" s="280">
        <f t="shared" si="3"/>
        <v>0</v>
      </c>
      <c r="AC46" s="280" t="s">
        <v>538</v>
      </c>
    </row>
    <row r="47" spans="1:29" ht="31.5" x14ac:dyDescent="0.25">
      <c r="A47" s="288" t="s">
        <v>142</v>
      </c>
      <c r="B47" s="289" t="s">
        <v>141</v>
      </c>
      <c r="C47" s="280">
        <f t="shared" si="4"/>
        <v>16.036999999999999</v>
      </c>
      <c r="D47" s="280" t="s">
        <v>538</v>
      </c>
      <c r="E47" s="280">
        <f t="shared" si="1"/>
        <v>16.036999999999999</v>
      </c>
      <c r="F47" s="298">
        <f t="shared" si="2"/>
        <v>16.036999999999999</v>
      </c>
      <c r="G47" s="280">
        <f t="shared" si="5"/>
        <v>16.036999999999999</v>
      </c>
      <c r="H47" s="280">
        <v>0</v>
      </c>
      <c r="I47" s="280">
        <v>0</v>
      </c>
      <c r="J47" s="280" t="s">
        <v>538</v>
      </c>
      <c r="K47" s="280" t="s">
        <v>538</v>
      </c>
      <c r="L47" s="280">
        <v>0</v>
      </c>
      <c r="M47" s="280">
        <v>0</v>
      </c>
      <c r="N47" s="280" t="s">
        <v>538</v>
      </c>
      <c r="O47" s="280" t="s">
        <v>538</v>
      </c>
      <c r="P47" s="280">
        <v>0</v>
      </c>
      <c r="Q47" s="280">
        <v>0</v>
      </c>
      <c r="R47" s="280" t="s">
        <v>538</v>
      </c>
      <c r="S47" s="280" t="s">
        <v>538</v>
      </c>
      <c r="T47" s="280">
        <v>0</v>
      </c>
      <c r="U47" s="280">
        <v>0</v>
      </c>
      <c r="V47" s="280" t="s">
        <v>538</v>
      </c>
      <c r="W47" s="280" t="s">
        <v>538</v>
      </c>
      <c r="X47" s="280">
        <v>0</v>
      </c>
      <c r="Y47" s="280">
        <v>0</v>
      </c>
      <c r="Z47" s="280" t="s">
        <v>538</v>
      </c>
      <c r="AA47" s="280" t="s">
        <v>538</v>
      </c>
      <c r="AB47" s="280">
        <f t="shared" si="3"/>
        <v>0</v>
      </c>
      <c r="AC47" s="280" t="s">
        <v>538</v>
      </c>
    </row>
    <row r="48" spans="1:29" ht="31.5" x14ac:dyDescent="0.25">
      <c r="A48" s="288" t="s">
        <v>140</v>
      </c>
      <c r="B48" s="289" t="s">
        <v>139</v>
      </c>
      <c r="C48" s="280">
        <f t="shared" si="4"/>
        <v>0</v>
      </c>
      <c r="D48" s="280" t="s">
        <v>538</v>
      </c>
      <c r="E48" s="280">
        <f t="shared" si="1"/>
        <v>0</v>
      </c>
      <c r="F48" s="298">
        <f t="shared" si="2"/>
        <v>0</v>
      </c>
      <c r="G48" s="280">
        <f t="shared" si="5"/>
        <v>0</v>
      </c>
      <c r="H48" s="280">
        <v>0</v>
      </c>
      <c r="I48" s="280">
        <v>0</v>
      </c>
      <c r="J48" s="280" t="s">
        <v>538</v>
      </c>
      <c r="K48" s="280" t="s">
        <v>538</v>
      </c>
      <c r="L48" s="280">
        <v>0</v>
      </c>
      <c r="M48" s="280">
        <v>0</v>
      </c>
      <c r="N48" s="280" t="s">
        <v>538</v>
      </c>
      <c r="O48" s="280" t="s">
        <v>538</v>
      </c>
      <c r="P48" s="280">
        <v>0</v>
      </c>
      <c r="Q48" s="280">
        <v>0</v>
      </c>
      <c r="R48" s="280" t="s">
        <v>538</v>
      </c>
      <c r="S48" s="280" t="s">
        <v>538</v>
      </c>
      <c r="T48" s="280">
        <v>0</v>
      </c>
      <c r="U48" s="280">
        <v>0</v>
      </c>
      <c r="V48" s="280" t="s">
        <v>538</v>
      </c>
      <c r="W48" s="280" t="s">
        <v>538</v>
      </c>
      <c r="X48" s="280">
        <v>0</v>
      </c>
      <c r="Y48" s="280">
        <v>0</v>
      </c>
      <c r="Z48" s="280" t="s">
        <v>538</v>
      </c>
      <c r="AA48" s="280" t="s">
        <v>538</v>
      </c>
      <c r="AB48" s="280">
        <f t="shared" si="3"/>
        <v>0</v>
      </c>
      <c r="AC48" s="280" t="s">
        <v>538</v>
      </c>
    </row>
    <row r="49" spans="1:29" x14ac:dyDescent="0.25">
      <c r="A49" s="288" t="s">
        <v>138</v>
      </c>
      <c r="B49" s="289" t="s">
        <v>137</v>
      </c>
      <c r="C49" s="280">
        <f t="shared" si="4"/>
        <v>11.385</v>
      </c>
      <c r="D49" s="280" t="s">
        <v>538</v>
      </c>
      <c r="E49" s="280">
        <f t="shared" si="1"/>
        <v>11.385</v>
      </c>
      <c r="F49" s="298">
        <f t="shared" si="2"/>
        <v>11.385</v>
      </c>
      <c r="G49" s="280">
        <f t="shared" si="5"/>
        <v>11.385</v>
      </c>
      <c r="H49" s="280">
        <v>0</v>
      </c>
      <c r="I49" s="280">
        <v>0</v>
      </c>
      <c r="J49" s="280" t="s">
        <v>538</v>
      </c>
      <c r="K49" s="280" t="s">
        <v>538</v>
      </c>
      <c r="L49" s="280">
        <v>0</v>
      </c>
      <c r="M49" s="280">
        <v>0</v>
      </c>
      <c r="N49" s="280" t="s">
        <v>538</v>
      </c>
      <c r="O49" s="280" t="s">
        <v>538</v>
      </c>
      <c r="P49" s="280">
        <v>0</v>
      </c>
      <c r="Q49" s="280">
        <v>0</v>
      </c>
      <c r="R49" s="280" t="s">
        <v>538</v>
      </c>
      <c r="S49" s="280" t="s">
        <v>538</v>
      </c>
      <c r="T49" s="280">
        <v>0</v>
      </c>
      <c r="U49" s="280">
        <v>0</v>
      </c>
      <c r="V49" s="280" t="s">
        <v>538</v>
      </c>
      <c r="W49" s="280" t="s">
        <v>538</v>
      </c>
      <c r="X49" s="280">
        <v>0</v>
      </c>
      <c r="Y49" s="280">
        <v>0</v>
      </c>
      <c r="Z49" s="280" t="s">
        <v>538</v>
      </c>
      <c r="AA49" s="280" t="s">
        <v>538</v>
      </c>
      <c r="AB49" s="280">
        <f t="shared" si="3"/>
        <v>0</v>
      </c>
      <c r="AC49" s="280" t="s">
        <v>538</v>
      </c>
    </row>
    <row r="50" spans="1:29" ht="18.75" x14ac:dyDescent="0.25">
      <c r="A50" s="288" t="s">
        <v>136</v>
      </c>
      <c r="B50" s="278" t="s">
        <v>547</v>
      </c>
      <c r="C50" s="280">
        <f t="shared" si="4"/>
        <v>0</v>
      </c>
      <c r="D50" s="280" t="s">
        <v>538</v>
      </c>
      <c r="E50" s="280">
        <f t="shared" si="1"/>
        <v>0</v>
      </c>
      <c r="F50" s="298">
        <f t="shared" si="2"/>
        <v>0</v>
      </c>
      <c r="G50" s="280">
        <v>0</v>
      </c>
      <c r="H50" s="280">
        <v>0</v>
      </c>
      <c r="I50" s="280">
        <v>0</v>
      </c>
      <c r="J50" s="280" t="s">
        <v>538</v>
      </c>
      <c r="K50" s="280" t="s">
        <v>538</v>
      </c>
      <c r="L50" s="280">
        <v>0</v>
      </c>
      <c r="M50" s="280">
        <v>0</v>
      </c>
      <c r="N50" s="280" t="s">
        <v>538</v>
      </c>
      <c r="O50" s="280" t="s">
        <v>538</v>
      </c>
      <c r="P50" s="280">
        <v>0</v>
      </c>
      <c r="Q50" s="280">
        <v>0</v>
      </c>
      <c r="R50" s="280" t="s">
        <v>538</v>
      </c>
      <c r="S50" s="280" t="s">
        <v>538</v>
      </c>
      <c r="T50" s="280">
        <v>0</v>
      </c>
      <c r="U50" s="280">
        <v>0</v>
      </c>
      <c r="V50" s="280" t="s">
        <v>538</v>
      </c>
      <c r="W50" s="280" t="s">
        <v>538</v>
      </c>
      <c r="X50" s="280">
        <v>0</v>
      </c>
      <c r="Y50" s="280">
        <v>0</v>
      </c>
      <c r="Z50" s="280" t="s">
        <v>538</v>
      </c>
      <c r="AA50" s="280" t="s">
        <v>538</v>
      </c>
      <c r="AB50" s="280">
        <f t="shared" si="3"/>
        <v>0</v>
      </c>
      <c r="AC50" s="280" t="s">
        <v>538</v>
      </c>
    </row>
    <row r="51" spans="1:29" ht="35.25" customHeight="1" x14ac:dyDescent="0.25">
      <c r="A51" s="288" t="s">
        <v>57</v>
      </c>
      <c r="B51" s="289" t="s">
        <v>135</v>
      </c>
      <c r="C51" s="280">
        <f t="shared" si="4"/>
        <v>0</v>
      </c>
      <c r="D51" s="280" t="s">
        <v>538</v>
      </c>
      <c r="E51" s="280">
        <f t="shared" si="1"/>
        <v>0</v>
      </c>
      <c r="F51" s="298">
        <f t="shared" si="2"/>
        <v>0</v>
      </c>
      <c r="G51" s="280">
        <v>0</v>
      </c>
      <c r="H51" s="280">
        <v>0</v>
      </c>
      <c r="I51" s="280">
        <v>0</v>
      </c>
      <c r="J51" s="280" t="s">
        <v>538</v>
      </c>
      <c r="K51" s="280" t="s">
        <v>538</v>
      </c>
      <c r="L51" s="280">
        <v>0</v>
      </c>
      <c r="M51" s="280">
        <v>0</v>
      </c>
      <c r="N51" s="280" t="s">
        <v>538</v>
      </c>
      <c r="O51" s="280" t="s">
        <v>538</v>
      </c>
      <c r="P51" s="280">
        <v>0</v>
      </c>
      <c r="Q51" s="280">
        <v>0</v>
      </c>
      <c r="R51" s="280" t="s">
        <v>538</v>
      </c>
      <c r="S51" s="280" t="s">
        <v>538</v>
      </c>
      <c r="T51" s="280">
        <v>0</v>
      </c>
      <c r="U51" s="280">
        <v>0</v>
      </c>
      <c r="V51" s="280" t="s">
        <v>538</v>
      </c>
      <c r="W51" s="280" t="s">
        <v>538</v>
      </c>
      <c r="X51" s="280">
        <v>0</v>
      </c>
      <c r="Y51" s="280">
        <v>0</v>
      </c>
      <c r="Z51" s="280" t="s">
        <v>538</v>
      </c>
      <c r="AA51" s="280" t="s">
        <v>538</v>
      </c>
      <c r="AB51" s="280">
        <f t="shared" si="3"/>
        <v>0</v>
      </c>
      <c r="AC51" s="280" t="s">
        <v>538</v>
      </c>
    </row>
    <row r="52" spans="1:29" x14ac:dyDescent="0.25">
      <c r="A52" s="288" t="s">
        <v>134</v>
      </c>
      <c r="B52" s="289" t="s">
        <v>133</v>
      </c>
      <c r="C52" s="280">
        <f t="shared" si="4"/>
        <v>42.937066666666666</v>
      </c>
      <c r="D52" s="280" t="str">
        <f t="shared" ref="D52" si="6">D33</f>
        <v>нд</v>
      </c>
      <c r="E52" s="280">
        <f t="shared" si="1"/>
        <v>42.937066666666666</v>
      </c>
      <c r="F52" s="298">
        <f t="shared" si="2"/>
        <v>42.937066666666666</v>
      </c>
      <c r="G52" s="280">
        <f>G30</f>
        <v>26.270399999999999</v>
      </c>
      <c r="H52" s="280">
        <f>H30</f>
        <v>3.3333333333333335</v>
      </c>
      <c r="I52" s="280">
        <v>0</v>
      </c>
      <c r="J52" s="280" t="s">
        <v>538</v>
      </c>
      <c r="K52" s="280" t="s">
        <v>538</v>
      </c>
      <c r="L52" s="280">
        <v>3.3333333333333335</v>
      </c>
      <c r="M52" s="280">
        <v>0</v>
      </c>
      <c r="N52" s="280" t="s">
        <v>538</v>
      </c>
      <c r="O52" s="280" t="s">
        <v>538</v>
      </c>
      <c r="P52" s="280">
        <v>3.3333333333333335</v>
      </c>
      <c r="Q52" s="280">
        <v>0</v>
      </c>
      <c r="R52" s="280" t="s">
        <v>538</v>
      </c>
      <c r="S52" s="280" t="s">
        <v>538</v>
      </c>
      <c r="T52" s="280">
        <v>3.3333333333333335</v>
      </c>
      <c r="U52" s="280">
        <v>0</v>
      </c>
      <c r="V52" s="280" t="s">
        <v>538</v>
      </c>
      <c r="W52" s="280" t="s">
        <v>538</v>
      </c>
      <c r="X52" s="280">
        <v>3.3333333333333335</v>
      </c>
      <c r="Y52" s="280">
        <v>0</v>
      </c>
      <c r="Z52" s="280" t="s">
        <v>538</v>
      </c>
      <c r="AA52" s="280" t="s">
        <v>538</v>
      </c>
      <c r="AB52" s="280">
        <f t="shared" si="3"/>
        <v>16.666666666666668</v>
      </c>
      <c r="AC52" s="280" t="s">
        <v>538</v>
      </c>
    </row>
    <row r="53" spans="1:29" x14ac:dyDescent="0.25">
      <c r="A53" s="288" t="s">
        <v>132</v>
      </c>
      <c r="B53" s="289" t="s">
        <v>126</v>
      </c>
      <c r="C53" s="280">
        <f t="shared" si="4"/>
        <v>0</v>
      </c>
      <c r="D53" s="280" t="s">
        <v>538</v>
      </c>
      <c r="E53" s="280">
        <f t="shared" si="1"/>
        <v>0</v>
      </c>
      <c r="F53" s="298">
        <f t="shared" si="2"/>
        <v>0</v>
      </c>
      <c r="G53" s="280">
        <v>0</v>
      </c>
      <c r="H53" s="280">
        <v>0</v>
      </c>
      <c r="I53" s="280">
        <v>0</v>
      </c>
      <c r="J53" s="280" t="s">
        <v>538</v>
      </c>
      <c r="K53" s="280" t="s">
        <v>538</v>
      </c>
      <c r="L53" s="280">
        <v>0</v>
      </c>
      <c r="M53" s="280">
        <v>0</v>
      </c>
      <c r="N53" s="280" t="s">
        <v>538</v>
      </c>
      <c r="O53" s="280" t="s">
        <v>538</v>
      </c>
      <c r="P53" s="280">
        <v>0</v>
      </c>
      <c r="Q53" s="280">
        <v>0</v>
      </c>
      <c r="R53" s="280" t="s">
        <v>538</v>
      </c>
      <c r="S53" s="280" t="s">
        <v>538</v>
      </c>
      <c r="T53" s="280">
        <v>0</v>
      </c>
      <c r="U53" s="280">
        <v>0</v>
      </c>
      <c r="V53" s="280" t="s">
        <v>538</v>
      </c>
      <c r="W53" s="280" t="s">
        <v>538</v>
      </c>
      <c r="X53" s="280">
        <v>0</v>
      </c>
      <c r="Y53" s="280">
        <v>0</v>
      </c>
      <c r="Z53" s="280" t="s">
        <v>538</v>
      </c>
      <c r="AA53" s="280" t="s">
        <v>538</v>
      </c>
      <c r="AB53" s="280">
        <f t="shared" si="3"/>
        <v>0</v>
      </c>
      <c r="AC53" s="280" t="s">
        <v>538</v>
      </c>
    </row>
    <row r="54" spans="1:29" x14ac:dyDescent="0.25">
      <c r="A54" s="288" t="s">
        <v>131</v>
      </c>
      <c r="B54" s="278" t="s">
        <v>125</v>
      </c>
      <c r="C54" s="280">
        <f t="shared" si="4"/>
        <v>3.45</v>
      </c>
      <c r="D54" s="280" t="s">
        <v>538</v>
      </c>
      <c r="E54" s="280">
        <f t="shared" si="1"/>
        <v>3.45</v>
      </c>
      <c r="F54" s="298">
        <f t="shared" si="2"/>
        <v>3.45</v>
      </c>
      <c r="G54" s="280">
        <f>G45</f>
        <v>3.45</v>
      </c>
      <c r="H54" s="280">
        <v>0</v>
      </c>
      <c r="I54" s="280">
        <v>0</v>
      </c>
      <c r="J54" s="280" t="s">
        <v>538</v>
      </c>
      <c r="K54" s="280" t="s">
        <v>538</v>
      </c>
      <c r="L54" s="280">
        <v>0</v>
      </c>
      <c r="M54" s="280">
        <v>0</v>
      </c>
      <c r="N54" s="280" t="s">
        <v>538</v>
      </c>
      <c r="O54" s="280" t="s">
        <v>538</v>
      </c>
      <c r="P54" s="280">
        <v>0</v>
      </c>
      <c r="Q54" s="280">
        <v>0</v>
      </c>
      <c r="R54" s="280" t="s">
        <v>538</v>
      </c>
      <c r="S54" s="280" t="s">
        <v>538</v>
      </c>
      <c r="T54" s="280">
        <v>0</v>
      </c>
      <c r="U54" s="280">
        <v>0</v>
      </c>
      <c r="V54" s="280" t="s">
        <v>538</v>
      </c>
      <c r="W54" s="280" t="s">
        <v>538</v>
      </c>
      <c r="X54" s="280">
        <v>0</v>
      </c>
      <c r="Y54" s="280">
        <v>0</v>
      </c>
      <c r="Z54" s="280" t="s">
        <v>538</v>
      </c>
      <c r="AA54" s="280" t="s">
        <v>538</v>
      </c>
      <c r="AB54" s="280">
        <f t="shared" si="3"/>
        <v>0</v>
      </c>
      <c r="AC54" s="280" t="s">
        <v>538</v>
      </c>
    </row>
    <row r="55" spans="1:29" x14ac:dyDescent="0.25">
      <c r="A55" s="288" t="s">
        <v>130</v>
      </c>
      <c r="B55" s="278" t="s">
        <v>124</v>
      </c>
      <c r="C55" s="280">
        <f t="shared" si="4"/>
        <v>0</v>
      </c>
      <c r="D55" s="280" t="s">
        <v>538</v>
      </c>
      <c r="E55" s="280">
        <f t="shared" si="1"/>
        <v>0</v>
      </c>
      <c r="F55" s="298">
        <f t="shared" si="2"/>
        <v>0</v>
      </c>
      <c r="G55" s="280">
        <f t="shared" ref="G55:G57" si="7">G46</f>
        <v>0</v>
      </c>
      <c r="H55" s="280">
        <v>0</v>
      </c>
      <c r="I55" s="280">
        <v>0</v>
      </c>
      <c r="J55" s="280" t="s">
        <v>538</v>
      </c>
      <c r="K55" s="280" t="s">
        <v>538</v>
      </c>
      <c r="L55" s="280">
        <v>0</v>
      </c>
      <c r="M55" s="280">
        <v>0</v>
      </c>
      <c r="N55" s="280" t="s">
        <v>538</v>
      </c>
      <c r="O55" s="280" t="s">
        <v>538</v>
      </c>
      <c r="P55" s="280">
        <v>0</v>
      </c>
      <c r="Q55" s="280">
        <v>0</v>
      </c>
      <c r="R55" s="280" t="s">
        <v>538</v>
      </c>
      <c r="S55" s="280" t="s">
        <v>538</v>
      </c>
      <c r="T55" s="280">
        <v>0</v>
      </c>
      <c r="U55" s="280">
        <v>0</v>
      </c>
      <c r="V55" s="280" t="s">
        <v>538</v>
      </c>
      <c r="W55" s="280" t="s">
        <v>538</v>
      </c>
      <c r="X55" s="280">
        <v>0</v>
      </c>
      <c r="Y55" s="280">
        <v>0</v>
      </c>
      <c r="Z55" s="280" t="s">
        <v>538</v>
      </c>
      <c r="AA55" s="280" t="s">
        <v>538</v>
      </c>
      <c r="AB55" s="280">
        <f t="shared" si="3"/>
        <v>0</v>
      </c>
      <c r="AC55" s="280" t="s">
        <v>538</v>
      </c>
    </row>
    <row r="56" spans="1:29" x14ac:dyDescent="0.25">
      <c r="A56" s="288" t="s">
        <v>129</v>
      </c>
      <c r="B56" s="278" t="s">
        <v>123</v>
      </c>
      <c r="C56" s="280">
        <f t="shared" si="4"/>
        <v>27.421999999999997</v>
      </c>
      <c r="D56" s="280" t="s">
        <v>538</v>
      </c>
      <c r="E56" s="280">
        <f t="shared" si="1"/>
        <v>27.421999999999997</v>
      </c>
      <c r="F56" s="298">
        <f t="shared" si="2"/>
        <v>27.421999999999997</v>
      </c>
      <c r="G56" s="280">
        <f>G47+G49</f>
        <v>27.421999999999997</v>
      </c>
      <c r="H56" s="280">
        <v>0</v>
      </c>
      <c r="I56" s="280">
        <v>0</v>
      </c>
      <c r="J56" s="280" t="s">
        <v>538</v>
      </c>
      <c r="K56" s="280" t="s">
        <v>538</v>
      </c>
      <c r="L56" s="280">
        <v>0</v>
      </c>
      <c r="M56" s="280">
        <v>0</v>
      </c>
      <c r="N56" s="280" t="s">
        <v>538</v>
      </c>
      <c r="O56" s="280" t="s">
        <v>538</v>
      </c>
      <c r="P56" s="280">
        <v>0</v>
      </c>
      <c r="Q56" s="280">
        <v>0</v>
      </c>
      <c r="R56" s="280" t="s">
        <v>538</v>
      </c>
      <c r="S56" s="280" t="s">
        <v>538</v>
      </c>
      <c r="T56" s="280">
        <v>0</v>
      </c>
      <c r="U56" s="280">
        <v>0</v>
      </c>
      <c r="V56" s="280" t="s">
        <v>538</v>
      </c>
      <c r="W56" s="280" t="s">
        <v>538</v>
      </c>
      <c r="X56" s="280">
        <v>0</v>
      </c>
      <c r="Y56" s="280">
        <v>0</v>
      </c>
      <c r="Z56" s="280" t="s">
        <v>538</v>
      </c>
      <c r="AA56" s="280" t="s">
        <v>538</v>
      </c>
      <c r="AB56" s="280">
        <f t="shared" si="3"/>
        <v>0</v>
      </c>
      <c r="AC56" s="280" t="s">
        <v>538</v>
      </c>
    </row>
    <row r="57" spans="1:29" ht="18.75" x14ac:dyDescent="0.25">
      <c r="A57" s="288" t="s">
        <v>128</v>
      </c>
      <c r="B57" s="278" t="s">
        <v>547</v>
      </c>
      <c r="C57" s="280">
        <f t="shared" si="4"/>
        <v>0</v>
      </c>
      <c r="D57" s="280" t="s">
        <v>538</v>
      </c>
      <c r="E57" s="280">
        <f t="shared" si="1"/>
        <v>0</v>
      </c>
      <c r="F57" s="298">
        <f t="shared" si="2"/>
        <v>0</v>
      </c>
      <c r="G57" s="280">
        <f t="shared" si="7"/>
        <v>0</v>
      </c>
      <c r="H57" s="280">
        <v>0</v>
      </c>
      <c r="I57" s="280">
        <v>0</v>
      </c>
      <c r="J57" s="280" t="s">
        <v>538</v>
      </c>
      <c r="K57" s="280" t="s">
        <v>538</v>
      </c>
      <c r="L57" s="280">
        <v>0</v>
      </c>
      <c r="M57" s="280">
        <v>0</v>
      </c>
      <c r="N57" s="280" t="s">
        <v>538</v>
      </c>
      <c r="O57" s="280" t="s">
        <v>538</v>
      </c>
      <c r="P57" s="280">
        <v>0</v>
      </c>
      <c r="Q57" s="280">
        <v>0</v>
      </c>
      <c r="R57" s="280" t="s">
        <v>538</v>
      </c>
      <c r="S57" s="280" t="s">
        <v>538</v>
      </c>
      <c r="T57" s="280">
        <v>0</v>
      </c>
      <c r="U57" s="280">
        <v>0</v>
      </c>
      <c r="V57" s="280" t="s">
        <v>538</v>
      </c>
      <c r="W57" s="280" t="s">
        <v>538</v>
      </c>
      <c r="X57" s="280">
        <v>0</v>
      </c>
      <c r="Y57" s="280">
        <v>0</v>
      </c>
      <c r="Z57" s="280" t="s">
        <v>538</v>
      </c>
      <c r="AA57" s="280" t="s">
        <v>538</v>
      </c>
      <c r="AB57" s="280">
        <f t="shared" si="3"/>
        <v>0</v>
      </c>
      <c r="AC57" s="280" t="s">
        <v>538</v>
      </c>
    </row>
    <row r="58" spans="1:29" ht="36.75" customHeight="1" x14ac:dyDescent="0.25">
      <c r="A58" s="288" t="s">
        <v>56</v>
      </c>
      <c r="B58" s="278" t="s">
        <v>207</v>
      </c>
      <c r="C58" s="280">
        <f t="shared" si="4"/>
        <v>0</v>
      </c>
      <c r="D58" s="280" t="s">
        <v>538</v>
      </c>
      <c r="E58" s="280">
        <f t="shared" si="1"/>
        <v>0</v>
      </c>
      <c r="F58" s="298">
        <f t="shared" si="2"/>
        <v>0</v>
      </c>
      <c r="G58" s="280">
        <v>0</v>
      </c>
      <c r="H58" s="280">
        <v>0</v>
      </c>
      <c r="I58" s="280">
        <v>0</v>
      </c>
      <c r="J58" s="280" t="s">
        <v>538</v>
      </c>
      <c r="K58" s="280" t="s">
        <v>538</v>
      </c>
      <c r="L58" s="280">
        <v>0</v>
      </c>
      <c r="M58" s="280">
        <v>0</v>
      </c>
      <c r="N58" s="280" t="s">
        <v>538</v>
      </c>
      <c r="O58" s="280" t="s">
        <v>538</v>
      </c>
      <c r="P58" s="280">
        <v>0</v>
      </c>
      <c r="Q58" s="280">
        <v>0</v>
      </c>
      <c r="R58" s="280" t="s">
        <v>538</v>
      </c>
      <c r="S58" s="280" t="s">
        <v>538</v>
      </c>
      <c r="T58" s="280">
        <v>0</v>
      </c>
      <c r="U58" s="280">
        <v>0</v>
      </c>
      <c r="V58" s="280" t="s">
        <v>538</v>
      </c>
      <c r="W58" s="280" t="s">
        <v>538</v>
      </c>
      <c r="X58" s="280">
        <v>0</v>
      </c>
      <c r="Y58" s="280">
        <v>0</v>
      </c>
      <c r="Z58" s="280" t="s">
        <v>538</v>
      </c>
      <c r="AA58" s="280" t="s">
        <v>538</v>
      </c>
      <c r="AB58" s="280">
        <f t="shared" si="3"/>
        <v>0</v>
      </c>
      <c r="AC58" s="280" t="s">
        <v>538</v>
      </c>
    </row>
    <row r="59" spans="1:29" x14ac:dyDescent="0.25">
      <c r="A59" s="288" t="s">
        <v>54</v>
      </c>
      <c r="B59" s="289" t="s">
        <v>127</v>
      </c>
      <c r="C59" s="280">
        <f t="shared" si="4"/>
        <v>0</v>
      </c>
      <c r="D59" s="280" t="s">
        <v>538</v>
      </c>
      <c r="E59" s="280">
        <f t="shared" si="1"/>
        <v>0</v>
      </c>
      <c r="F59" s="298">
        <f t="shared" si="2"/>
        <v>0</v>
      </c>
      <c r="G59" s="280">
        <v>0</v>
      </c>
      <c r="H59" s="280">
        <v>0</v>
      </c>
      <c r="I59" s="280">
        <v>0</v>
      </c>
      <c r="J59" s="280" t="s">
        <v>538</v>
      </c>
      <c r="K59" s="280" t="s">
        <v>538</v>
      </c>
      <c r="L59" s="280">
        <v>0</v>
      </c>
      <c r="M59" s="280">
        <v>0</v>
      </c>
      <c r="N59" s="280" t="s">
        <v>538</v>
      </c>
      <c r="O59" s="280" t="s">
        <v>538</v>
      </c>
      <c r="P59" s="280">
        <v>0</v>
      </c>
      <c r="Q59" s="280">
        <v>0</v>
      </c>
      <c r="R59" s="280" t="s">
        <v>538</v>
      </c>
      <c r="S59" s="280" t="s">
        <v>538</v>
      </c>
      <c r="T59" s="280">
        <v>0</v>
      </c>
      <c r="U59" s="280">
        <v>0</v>
      </c>
      <c r="V59" s="280" t="s">
        <v>538</v>
      </c>
      <c r="W59" s="280" t="s">
        <v>538</v>
      </c>
      <c r="X59" s="280">
        <v>0</v>
      </c>
      <c r="Y59" s="280">
        <v>0</v>
      </c>
      <c r="Z59" s="280" t="s">
        <v>538</v>
      </c>
      <c r="AA59" s="280" t="s">
        <v>538</v>
      </c>
      <c r="AB59" s="280">
        <f t="shared" si="3"/>
        <v>0</v>
      </c>
      <c r="AC59" s="280" t="s">
        <v>538</v>
      </c>
    </row>
    <row r="60" spans="1:29" x14ac:dyDescent="0.25">
      <c r="A60" s="288" t="s">
        <v>201</v>
      </c>
      <c r="B60" s="279" t="s">
        <v>147</v>
      </c>
      <c r="C60" s="280">
        <f t="shared" si="4"/>
        <v>0</v>
      </c>
      <c r="D60" s="280" t="s">
        <v>538</v>
      </c>
      <c r="E60" s="280">
        <f t="shared" si="1"/>
        <v>0</v>
      </c>
      <c r="F60" s="298">
        <f t="shared" si="2"/>
        <v>0</v>
      </c>
      <c r="G60" s="280">
        <v>0</v>
      </c>
      <c r="H60" s="280">
        <v>0</v>
      </c>
      <c r="I60" s="280">
        <v>0</v>
      </c>
      <c r="J60" s="280" t="s">
        <v>538</v>
      </c>
      <c r="K60" s="280" t="s">
        <v>538</v>
      </c>
      <c r="L60" s="280">
        <v>0</v>
      </c>
      <c r="M60" s="280">
        <v>0</v>
      </c>
      <c r="N60" s="280" t="s">
        <v>538</v>
      </c>
      <c r="O60" s="280" t="s">
        <v>538</v>
      </c>
      <c r="P60" s="280">
        <v>0</v>
      </c>
      <c r="Q60" s="280">
        <v>0</v>
      </c>
      <c r="R60" s="280" t="s">
        <v>538</v>
      </c>
      <c r="S60" s="280" t="s">
        <v>538</v>
      </c>
      <c r="T60" s="280">
        <v>0</v>
      </c>
      <c r="U60" s="280">
        <v>0</v>
      </c>
      <c r="V60" s="280" t="s">
        <v>538</v>
      </c>
      <c r="W60" s="280" t="s">
        <v>538</v>
      </c>
      <c r="X60" s="280">
        <v>0</v>
      </c>
      <c r="Y60" s="280">
        <v>0</v>
      </c>
      <c r="Z60" s="280" t="s">
        <v>538</v>
      </c>
      <c r="AA60" s="280" t="s">
        <v>538</v>
      </c>
      <c r="AB60" s="280">
        <f t="shared" si="3"/>
        <v>0</v>
      </c>
      <c r="AC60" s="280" t="s">
        <v>538</v>
      </c>
    </row>
    <row r="61" spans="1:29" x14ac:dyDescent="0.25">
      <c r="A61" s="288" t="s">
        <v>202</v>
      </c>
      <c r="B61" s="279" t="s">
        <v>145</v>
      </c>
      <c r="C61" s="280">
        <f t="shared" si="4"/>
        <v>0</v>
      </c>
      <c r="D61" s="280" t="s">
        <v>538</v>
      </c>
      <c r="E61" s="280">
        <f t="shared" si="1"/>
        <v>0</v>
      </c>
      <c r="F61" s="298">
        <f t="shared" si="2"/>
        <v>0</v>
      </c>
      <c r="G61" s="280">
        <v>0</v>
      </c>
      <c r="H61" s="280">
        <v>0</v>
      </c>
      <c r="I61" s="280">
        <v>0</v>
      </c>
      <c r="J61" s="280" t="s">
        <v>538</v>
      </c>
      <c r="K61" s="280" t="s">
        <v>538</v>
      </c>
      <c r="L61" s="280">
        <v>0</v>
      </c>
      <c r="M61" s="280">
        <v>0</v>
      </c>
      <c r="N61" s="280" t="s">
        <v>538</v>
      </c>
      <c r="O61" s="280" t="s">
        <v>538</v>
      </c>
      <c r="P61" s="280">
        <v>0</v>
      </c>
      <c r="Q61" s="280">
        <v>0</v>
      </c>
      <c r="R61" s="280" t="s">
        <v>538</v>
      </c>
      <c r="S61" s="280" t="s">
        <v>538</v>
      </c>
      <c r="T61" s="280">
        <v>0</v>
      </c>
      <c r="U61" s="280">
        <v>0</v>
      </c>
      <c r="V61" s="280" t="s">
        <v>538</v>
      </c>
      <c r="W61" s="280" t="s">
        <v>538</v>
      </c>
      <c r="X61" s="280">
        <v>0</v>
      </c>
      <c r="Y61" s="280">
        <v>0</v>
      </c>
      <c r="Z61" s="280" t="s">
        <v>538</v>
      </c>
      <c r="AA61" s="280" t="s">
        <v>538</v>
      </c>
      <c r="AB61" s="280">
        <f t="shared" si="3"/>
        <v>0</v>
      </c>
      <c r="AC61" s="280" t="s">
        <v>538</v>
      </c>
    </row>
    <row r="62" spans="1:29" x14ac:dyDescent="0.25">
      <c r="A62" s="288" t="s">
        <v>203</v>
      </c>
      <c r="B62" s="279" t="s">
        <v>143</v>
      </c>
      <c r="C62" s="280">
        <f t="shared" si="4"/>
        <v>0</v>
      </c>
      <c r="D62" s="280" t="s">
        <v>538</v>
      </c>
      <c r="E62" s="280">
        <f t="shared" si="1"/>
        <v>0</v>
      </c>
      <c r="F62" s="298">
        <f t="shared" si="2"/>
        <v>0</v>
      </c>
      <c r="G62" s="280">
        <v>0</v>
      </c>
      <c r="H62" s="280">
        <v>0</v>
      </c>
      <c r="I62" s="280">
        <v>0</v>
      </c>
      <c r="J62" s="280" t="s">
        <v>538</v>
      </c>
      <c r="K62" s="280" t="s">
        <v>538</v>
      </c>
      <c r="L62" s="280">
        <v>0</v>
      </c>
      <c r="M62" s="280">
        <v>0</v>
      </c>
      <c r="N62" s="280" t="s">
        <v>538</v>
      </c>
      <c r="O62" s="280" t="s">
        <v>538</v>
      </c>
      <c r="P62" s="280">
        <v>0</v>
      </c>
      <c r="Q62" s="280">
        <v>0</v>
      </c>
      <c r="R62" s="280" t="s">
        <v>538</v>
      </c>
      <c r="S62" s="280" t="s">
        <v>538</v>
      </c>
      <c r="T62" s="280">
        <v>0</v>
      </c>
      <c r="U62" s="280">
        <v>0</v>
      </c>
      <c r="V62" s="280" t="s">
        <v>538</v>
      </c>
      <c r="W62" s="280" t="s">
        <v>538</v>
      </c>
      <c r="X62" s="280">
        <v>0</v>
      </c>
      <c r="Y62" s="280">
        <v>0</v>
      </c>
      <c r="Z62" s="280" t="s">
        <v>538</v>
      </c>
      <c r="AA62" s="280" t="s">
        <v>538</v>
      </c>
      <c r="AB62" s="280">
        <f t="shared" si="3"/>
        <v>0</v>
      </c>
      <c r="AC62" s="280" t="s">
        <v>538</v>
      </c>
    </row>
    <row r="63" spans="1:29" x14ac:dyDescent="0.25">
      <c r="A63" s="288" t="s">
        <v>204</v>
      </c>
      <c r="B63" s="279" t="s">
        <v>206</v>
      </c>
      <c r="C63" s="280">
        <f t="shared" si="4"/>
        <v>0</v>
      </c>
      <c r="D63" s="280" t="s">
        <v>538</v>
      </c>
      <c r="E63" s="280">
        <f t="shared" si="1"/>
        <v>0</v>
      </c>
      <c r="F63" s="298">
        <f t="shared" si="2"/>
        <v>0</v>
      </c>
      <c r="G63" s="280">
        <v>0</v>
      </c>
      <c r="H63" s="280">
        <v>0</v>
      </c>
      <c r="I63" s="280">
        <v>0</v>
      </c>
      <c r="J63" s="280" t="s">
        <v>538</v>
      </c>
      <c r="K63" s="280" t="s">
        <v>538</v>
      </c>
      <c r="L63" s="280">
        <v>0</v>
      </c>
      <c r="M63" s="280">
        <v>0</v>
      </c>
      <c r="N63" s="280" t="s">
        <v>538</v>
      </c>
      <c r="O63" s="280" t="s">
        <v>538</v>
      </c>
      <c r="P63" s="280">
        <v>0</v>
      </c>
      <c r="Q63" s="280">
        <v>0</v>
      </c>
      <c r="R63" s="280" t="s">
        <v>538</v>
      </c>
      <c r="S63" s="280" t="s">
        <v>538</v>
      </c>
      <c r="T63" s="280">
        <v>0</v>
      </c>
      <c r="U63" s="280">
        <v>0</v>
      </c>
      <c r="V63" s="280" t="s">
        <v>538</v>
      </c>
      <c r="W63" s="280" t="s">
        <v>538</v>
      </c>
      <c r="X63" s="280">
        <v>0</v>
      </c>
      <c r="Y63" s="280">
        <v>0</v>
      </c>
      <c r="Z63" s="280" t="s">
        <v>538</v>
      </c>
      <c r="AA63" s="280" t="s">
        <v>538</v>
      </c>
      <c r="AB63" s="280">
        <f t="shared" si="3"/>
        <v>0</v>
      </c>
      <c r="AC63" s="280" t="s">
        <v>538</v>
      </c>
    </row>
    <row r="64" spans="1:29" ht="18.75" x14ac:dyDescent="0.25">
      <c r="A64" s="288" t="s">
        <v>205</v>
      </c>
      <c r="B64" s="278" t="s">
        <v>547</v>
      </c>
      <c r="C64" s="280">
        <f t="shared" si="4"/>
        <v>0</v>
      </c>
      <c r="D64" s="280" t="s">
        <v>538</v>
      </c>
      <c r="E64" s="280">
        <f t="shared" si="1"/>
        <v>0</v>
      </c>
      <c r="F64" s="298">
        <f t="shared" si="2"/>
        <v>0</v>
      </c>
      <c r="G64" s="280">
        <v>0</v>
      </c>
      <c r="H64" s="280">
        <v>0</v>
      </c>
      <c r="I64" s="280">
        <v>0</v>
      </c>
      <c r="J64" s="280" t="s">
        <v>538</v>
      </c>
      <c r="K64" s="280" t="s">
        <v>538</v>
      </c>
      <c r="L64" s="280">
        <v>0</v>
      </c>
      <c r="M64" s="280">
        <v>0</v>
      </c>
      <c r="N64" s="280" t="s">
        <v>538</v>
      </c>
      <c r="O64" s="280" t="s">
        <v>538</v>
      </c>
      <c r="P64" s="280">
        <v>0</v>
      </c>
      <c r="Q64" s="280">
        <v>0</v>
      </c>
      <c r="R64" s="280" t="s">
        <v>538</v>
      </c>
      <c r="S64" s="280" t="s">
        <v>538</v>
      </c>
      <c r="T64" s="280">
        <v>0</v>
      </c>
      <c r="U64" s="280">
        <v>0</v>
      </c>
      <c r="V64" s="280" t="s">
        <v>538</v>
      </c>
      <c r="W64" s="280" t="s">
        <v>538</v>
      </c>
      <c r="X64" s="280">
        <v>0</v>
      </c>
      <c r="Y64" s="280">
        <v>0</v>
      </c>
      <c r="Z64" s="280" t="s">
        <v>538</v>
      </c>
      <c r="AA64" s="280" t="s">
        <v>538</v>
      </c>
      <c r="AB64" s="280">
        <f t="shared" si="3"/>
        <v>0</v>
      </c>
      <c r="AC64" s="280" t="s">
        <v>538</v>
      </c>
    </row>
    <row r="65" spans="1:28" x14ac:dyDescent="0.25">
      <c r="A65" s="291"/>
      <c r="B65" s="292"/>
      <c r="C65" s="292"/>
      <c r="D65" s="292"/>
      <c r="E65" s="292"/>
      <c r="F65" s="292"/>
      <c r="G65" s="292"/>
    </row>
    <row r="66" spans="1:28" ht="54" customHeight="1" x14ac:dyDescent="0.25">
      <c r="B66" s="421"/>
      <c r="C66" s="421"/>
      <c r="D66" s="421"/>
      <c r="E66" s="421"/>
      <c r="F66" s="293"/>
      <c r="G66" s="293"/>
      <c r="H66" s="294"/>
      <c r="I66" s="294"/>
      <c r="J66" s="294"/>
      <c r="K66" s="294"/>
      <c r="L66" s="294"/>
      <c r="M66" s="294"/>
      <c r="N66" s="294"/>
      <c r="O66" s="294"/>
      <c r="P66" s="294"/>
      <c r="Q66" s="294"/>
      <c r="R66" s="294"/>
      <c r="S66" s="294"/>
      <c r="T66" s="294"/>
      <c r="U66" s="294"/>
      <c r="V66" s="294"/>
      <c r="W66" s="294"/>
      <c r="X66" s="294"/>
      <c r="Y66" s="294"/>
      <c r="Z66" s="294"/>
      <c r="AA66" s="294"/>
      <c r="AB66" s="294"/>
    </row>
    <row r="68" spans="1:28" ht="50.25" customHeight="1" x14ac:dyDescent="0.25">
      <c r="B68" s="421"/>
      <c r="C68" s="421"/>
      <c r="D68" s="421"/>
      <c r="E68" s="421"/>
      <c r="F68" s="293"/>
      <c r="G68" s="293"/>
    </row>
    <row r="70" spans="1:28" ht="36.75" customHeight="1" x14ac:dyDescent="0.25">
      <c r="B70" s="421"/>
      <c r="C70" s="421"/>
      <c r="D70" s="421"/>
      <c r="E70" s="421"/>
      <c r="F70" s="293"/>
      <c r="G70" s="293"/>
    </row>
    <row r="72" spans="1:28" ht="51" customHeight="1" x14ac:dyDescent="0.25">
      <c r="B72" s="421"/>
      <c r="C72" s="421"/>
      <c r="D72" s="421"/>
      <c r="E72" s="421"/>
      <c r="F72" s="293"/>
      <c r="G72" s="293"/>
    </row>
    <row r="73" spans="1:28" ht="32.25" customHeight="1" x14ac:dyDescent="0.25">
      <c r="B73" s="421"/>
      <c r="C73" s="421"/>
      <c r="D73" s="421"/>
      <c r="E73" s="421"/>
      <c r="F73" s="293"/>
      <c r="G73" s="293"/>
    </row>
    <row r="74" spans="1:28" ht="51.75" customHeight="1" x14ac:dyDescent="0.25">
      <c r="B74" s="421"/>
      <c r="C74" s="421"/>
      <c r="D74" s="421"/>
      <c r="E74" s="421"/>
      <c r="F74" s="293"/>
      <c r="G74" s="293"/>
    </row>
    <row r="75" spans="1:28" ht="21.75" customHeight="1" x14ac:dyDescent="0.25">
      <c r="B75" s="426"/>
      <c r="C75" s="426"/>
      <c r="D75" s="426"/>
      <c r="E75" s="426"/>
      <c r="F75" s="295"/>
      <c r="G75" s="295"/>
    </row>
    <row r="76" spans="1:28" ht="23.25" customHeight="1" x14ac:dyDescent="0.25"/>
    <row r="77" spans="1:28" ht="18.75" customHeight="1" x14ac:dyDescent="0.25">
      <c r="B77" s="420"/>
      <c r="C77" s="420"/>
      <c r="D77" s="420"/>
      <c r="E77" s="420"/>
      <c r="F77" s="292"/>
      <c r="G77" s="292"/>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R21:S21"/>
    <mergeCell ref="T21:U21"/>
    <mergeCell ref="P20:S20"/>
    <mergeCell ref="B75:E75"/>
    <mergeCell ref="E20:F21"/>
    <mergeCell ref="H21:I21"/>
    <mergeCell ref="J21:K21"/>
    <mergeCell ref="L21:M21"/>
    <mergeCell ref="N21:O21"/>
    <mergeCell ref="P21:Q21"/>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O1" zoomScale="70" zoomScaleSheetLayoutView="70" workbookViewId="0">
      <selection activeCell="A19" sqref="A19:AV19"/>
    </sheetView>
  </sheetViews>
  <sheetFormatPr defaultColWidth="9.140625" defaultRowHeight="15" x14ac:dyDescent="0.25"/>
  <cols>
    <col min="1" max="1" width="6.140625" style="136" customWidth="1"/>
    <col min="2" max="2" width="23.140625" style="122" customWidth="1"/>
    <col min="3" max="3" width="13.85546875" style="122" customWidth="1"/>
    <col min="4" max="4" width="15.140625" style="122" customWidth="1"/>
    <col min="5" max="12" width="7.7109375" style="122" customWidth="1"/>
    <col min="13" max="13" width="18" style="122" customWidth="1"/>
    <col min="14" max="14" width="53.28515625" style="122" customWidth="1"/>
    <col min="15" max="15" width="24.5703125" style="122" customWidth="1"/>
    <col min="16" max="16" width="23.140625" style="122" customWidth="1"/>
    <col min="17" max="17" width="21.85546875" style="122" customWidth="1"/>
    <col min="18" max="18" width="20.140625" style="122" customWidth="1"/>
    <col min="19" max="19" width="14.28515625" style="122" customWidth="1"/>
    <col min="20" max="20" width="12.42578125" style="122" customWidth="1"/>
    <col min="21" max="21" width="11.42578125" style="122" customWidth="1"/>
    <col min="22" max="22" width="12.7109375" style="122" customWidth="1"/>
    <col min="23" max="23" width="27.85546875" style="122" customWidth="1"/>
    <col min="24" max="24" width="21.28515625" style="122" customWidth="1"/>
    <col min="25" max="25" width="21.140625" style="122" customWidth="1"/>
    <col min="26" max="26" width="7.7109375" style="122" customWidth="1"/>
    <col min="27" max="27" width="23.28515625" style="122" customWidth="1"/>
    <col min="28" max="28" width="21.28515625" style="122" customWidth="1"/>
    <col min="29" max="29" width="28.5703125" style="122" customWidth="1"/>
    <col min="30" max="30" width="17.42578125" style="122" customWidth="1"/>
    <col min="31" max="31" width="25.7109375" style="122" customWidth="1"/>
    <col min="32" max="32" width="17.42578125" style="122" customWidth="1"/>
    <col min="33" max="33" width="17.28515625" style="122" customWidth="1"/>
    <col min="34" max="34" width="14.7109375" style="122" customWidth="1"/>
    <col min="35" max="35" width="15.42578125" style="122" customWidth="1"/>
    <col min="36" max="36" width="20" style="122" customWidth="1"/>
    <col min="37" max="37" width="19.85546875" style="122" customWidth="1"/>
    <col min="38" max="38" width="26.7109375" style="122" customWidth="1"/>
    <col min="39" max="39" width="20.140625" style="122" customWidth="1"/>
    <col min="40" max="40" width="16.140625" style="122" customWidth="1"/>
    <col min="41" max="41" width="16.5703125" style="122" customWidth="1"/>
    <col min="42" max="42" width="16.28515625" style="122" customWidth="1"/>
    <col min="43" max="43" width="17.140625" style="122" customWidth="1"/>
    <col min="44" max="44" width="18" style="122" customWidth="1"/>
    <col min="45" max="45" width="16.140625" style="122" customWidth="1"/>
    <col min="46" max="46" width="18" style="122" customWidth="1"/>
    <col min="47" max="47" width="16.28515625" style="122" customWidth="1"/>
    <col min="48" max="48" width="19.7109375" style="122" customWidth="1"/>
    <col min="49" max="16384" width="9.140625" style="122"/>
  </cols>
  <sheetData>
    <row r="1" spans="1:48" ht="18.75" x14ac:dyDescent="0.25">
      <c r="AV1" s="20" t="s">
        <v>66</v>
      </c>
    </row>
    <row r="2" spans="1:48" ht="18.75" x14ac:dyDescent="0.3">
      <c r="AV2" s="11" t="s">
        <v>8</v>
      </c>
    </row>
    <row r="3" spans="1:48" ht="18.75" x14ac:dyDescent="0.3">
      <c r="AV3" s="11" t="s">
        <v>65</v>
      </c>
    </row>
    <row r="4" spans="1:48" ht="18.75" x14ac:dyDescent="0.3">
      <c r="AV4" s="11"/>
    </row>
    <row r="5" spans="1:48" ht="18.75" customHeight="1" x14ac:dyDescent="0.25">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c r="AB5" s="331"/>
      <c r="AC5" s="331"/>
      <c r="AD5" s="331"/>
      <c r="AE5" s="331"/>
      <c r="AF5" s="331"/>
      <c r="AG5" s="331"/>
      <c r="AH5" s="331"/>
      <c r="AI5" s="331"/>
      <c r="AJ5" s="331"/>
      <c r="AK5" s="331"/>
      <c r="AL5" s="331"/>
      <c r="AM5" s="331"/>
      <c r="AN5" s="331"/>
      <c r="AO5" s="331"/>
      <c r="AP5" s="331"/>
      <c r="AQ5" s="331"/>
      <c r="AR5" s="331"/>
      <c r="AS5" s="331"/>
      <c r="AT5" s="331"/>
      <c r="AU5" s="331"/>
      <c r="AV5" s="331"/>
    </row>
    <row r="6" spans="1:48" ht="18.75" x14ac:dyDescent="0.3">
      <c r="AV6" s="11"/>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ht="15.75"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8"/>
      <c r="AI9" s="338"/>
      <c r="AJ9" s="338"/>
      <c r="AK9" s="338"/>
      <c r="AL9" s="338"/>
      <c r="AM9" s="338"/>
      <c r="AN9" s="338"/>
      <c r="AO9" s="338"/>
      <c r="AP9" s="338"/>
      <c r="AQ9" s="338"/>
      <c r="AR9" s="338"/>
      <c r="AS9" s="338"/>
      <c r="AT9" s="338"/>
      <c r="AU9" s="338"/>
      <c r="AV9" s="338"/>
    </row>
    <row r="10" spans="1:48" ht="15.75" x14ac:dyDescent="0.25">
      <c r="A10" s="344" t="s">
        <v>6</v>
      </c>
      <c r="B10" s="344"/>
      <c r="C10" s="344"/>
      <c r="D10" s="344"/>
      <c r="E10" s="344"/>
      <c r="F10" s="344"/>
      <c r="G10" s="344"/>
      <c r="H10" s="344"/>
      <c r="I10" s="344"/>
      <c r="J10" s="344"/>
      <c r="K10" s="344"/>
      <c r="L10" s="344"/>
      <c r="M10" s="344"/>
      <c r="N10" s="344"/>
      <c r="O10" s="344"/>
      <c r="P10" s="344"/>
      <c r="Q10" s="344"/>
      <c r="R10" s="344"/>
      <c r="S10" s="344"/>
      <c r="T10" s="344"/>
      <c r="U10" s="344"/>
      <c r="V10" s="344"/>
      <c r="W10" s="344"/>
      <c r="X10" s="344"/>
      <c r="Y10" s="344"/>
      <c r="Z10" s="344"/>
      <c r="AA10" s="344"/>
      <c r="AB10" s="344"/>
      <c r="AC10" s="344"/>
      <c r="AD10" s="344"/>
      <c r="AE10" s="344"/>
      <c r="AF10" s="344"/>
      <c r="AG10" s="344"/>
      <c r="AH10" s="344"/>
      <c r="AI10" s="344"/>
      <c r="AJ10" s="344"/>
      <c r="AK10" s="344"/>
      <c r="AL10" s="344"/>
      <c r="AM10" s="344"/>
      <c r="AN10" s="344"/>
      <c r="AO10" s="344"/>
      <c r="AP10" s="344"/>
      <c r="AQ10" s="344"/>
      <c r="AR10" s="344"/>
      <c r="AS10" s="344"/>
      <c r="AT10" s="344"/>
      <c r="AU10" s="344"/>
      <c r="AV10" s="344"/>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ht="15.75" x14ac:dyDescent="0.25">
      <c r="A12" s="338" t="str">
        <f>'1. паспорт местоположение'!A12:C12</f>
        <v>O 24-35</v>
      </c>
      <c r="B12" s="338"/>
      <c r="C12" s="338"/>
      <c r="D12" s="338"/>
      <c r="E12" s="338"/>
      <c r="F12" s="338"/>
      <c r="G12" s="338"/>
      <c r="H12" s="338"/>
      <c r="I12" s="338"/>
      <c r="J12" s="338"/>
      <c r="K12" s="338"/>
      <c r="L12" s="338"/>
      <c r="M12" s="338"/>
      <c r="N12" s="338"/>
      <c r="O12" s="338"/>
      <c r="P12" s="338"/>
      <c r="Q12" s="338"/>
      <c r="R12" s="338"/>
      <c r="S12" s="338"/>
      <c r="T12" s="338"/>
      <c r="U12" s="338"/>
      <c r="V12" s="338"/>
      <c r="W12" s="338"/>
      <c r="X12" s="338"/>
      <c r="Y12" s="338"/>
      <c r="Z12" s="338"/>
      <c r="AA12" s="338"/>
      <c r="AB12" s="338"/>
      <c r="AC12" s="338"/>
      <c r="AD12" s="338"/>
      <c r="AE12" s="338"/>
      <c r="AF12" s="338"/>
      <c r="AG12" s="338"/>
      <c r="AH12" s="338"/>
      <c r="AI12" s="338"/>
      <c r="AJ12" s="338"/>
      <c r="AK12" s="338"/>
      <c r="AL12" s="338"/>
      <c r="AM12" s="338"/>
      <c r="AN12" s="338"/>
      <c r="AO12" s="338"/>
      <c r="AP12" s="338"/>
      <c r="AQ12" s="338"/>
      <c r="AR12" s="338"/>
      <c r="AS12" s="338"/>
      <c r="AT12" s="338"/>
      <c r="AU12" s="338"/>
      <c r="AV12" s="338"/>
    </row>
    <row r="13" spans="1:48" ht="15.75" x14ac:dyDescent="0.25">
      <c r="A13" s="344" t="s">
        <v>5</v>
      </c>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344"/>
      <c r="AB13" s="344"/>
      <c r="AC13" s="344"/>
      <c r="AD13" s="344"/>
      <c r="AE13" s="344"/>
      <c r="AF13" s="344"/>
      <c r="AG13" s="344"/>
      <c r="AH13" s="344"/>
      <c r="AI13" s="344"/>
      <c r="AJ13" s="344"/>
      <c r="AK13" s="344"/>
      <c r="AL13" s="344"/>
      <c r="AM13" s="344"/>
      <c r="AN13" s="344"/>
      <c r="AO13" s="344"/>
      <c r="AP13" s="344"/>
      <c r="AQ13" s="344"/>
      <c r="AR13" s="344"/>
      <c r="AS13" s="344"/>
      <c r="AT13" s="344"/>
      <c r="AU13" s="344"/>
      <c r="AV13" s="344"/>
    </row>
    <row r="14" spans="1:48" ht="18.75" x14ac:dyDescent="0.25">
      <c r="A14" s="345"/>
      <c r="B14" s="345"/>
      <c r="C14" s="345"/>
      <c r="D14" s="345"/>
      <c r="E14" s="345"/>
      <c r="F14" s="345"/>
      <c r="G14" s="345"/>
      <c r="H14" s="345"/>
      <c r="I14" s="345"/>
      <c r="J14" s="345"/>
      <c r="K14" s="345"/>
      <c r="L14" s="345"/>
      <c r="M14" s="345"/>
      <c r="N14" s="345"/>
      <c r="O14" s="345"/>
      <c r="P14" s="345"/>
      <c r="Q14" s="345"/>
      <c r="R14" s="345"/>
      <c r="S14" s="345"/>
      <c r="T14" s="345"/>
      <c r="U14" s="345"/>
      <c r="V14" s="345"/>
      <c r="W14" s="345"/>
      <c r="X14" s="345"/>
      <c r="Y14" s="345"/>
      <c r="Z14" s="345"/>
      <c r="AA14" s="345"/>
      <c r="AB14" s="345"/>
      <c r="AC14" s="345"/>
      <c r="AD14" s="345"/>
      <c r="AE14" s="345"/>
      <c r="AF14" s="345"/>
      <c r="AG14" s="345"/>
      <c r="AH14" s="345"/>
      <c r="AI14" s="345"/>
      <c r="AJ14" s="345"/>
      <c r="AK14" s="345"/>
      <c r="AL14" s="345"/>
      <c r="AM14" s="345"/>
      <c r="AN14" s="345"/>
      <c r="AO14" s="345"/>
      <c r="AP14" s="345"/>
      <c r="AQ14" s="345"/>
      <c r="AR14" s="345"/>
      <c r="AS14" s="345"/>
      <c r="AT14" s="345"/>
      <c r="AU14" s="345"/>
      <c r="AV14" s="345"/>
    </row>
    <row r="15" spans="1:48" ht="15.75" x14ac:dyDescent="0.25">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c r="L15" s="338"/>
      <c r="M15" s="338"/>
      <c r="N15" s="338"/>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row>
    <row r="16" spans="1:48" ht="15.75" x14ac:dyDescent="0.25">
      <c r="A16" s="344" t="s">
        <v>4</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4"/>
      <c r="AD16" s="344"/>
      <c r="AE16" s="344"/>
      <c r="AF16" s="344"/>
      <c r="AG16" s="344"/>
      <c r="AH16" s="344"/>
      <c r="AI16" s="344"/>
      <c r="AJ16" s="344"/>
      <c r="AK16" s="344"/>
      <c r="AL16" s="344"/>
      <c r="AM16" s="344"/>
      <c r="AN16" s="344"/>
      <c r="AO16" s="344"/>
      <c r="AP16" s="344"/>
      <c r="AQ16" s="344"/>
      <c r="AR16" s="344"/>
      <c r="AS16" s="344"/>
      <c r="AT16" s="344"/>
      <c r="AU16" s="344"/>
      <c r="AV16" s="344"/>
    </row>
    <row r="17" spans="1:4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378"/>
      <c r="AB17" s="378"/>
      <c r="AC17" s="378"/>
      <c r="AD17" s="378"/>
      <c r="AE17" s="378"/>
      <c r="AF17" s="378"/>
      <c r="AG17" s="378"/>
      <c r="AH17" s="378"/>
      <c r="AI17" s="378"/>
      <c r="AJ17" s="378"/>
      <c r="AK17" s="378"/>
      <c r="AL17" s="378"/>
      <c r="AM17" s="378"/>
      <c r="AN17" s="378"/>
      <c r="AO17" s="378"/>
      <c r="AP17" s="378"/>
      <c r="AQ17" s="378"/>
      <c r="AR17" s="378"/>
      <c r="AS17" s="378"/>
      <c r="AT17" s="378"/>
      <c r="AU17" s="378"/>
      <c r="AV17" s="378"/>
    </row>
    <row r="18" spans="1:48" ht="14.25" customHeight="1"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378"/>
      <c r="AB18" s="378"/>
      <c r="AC18" s="378"/>
      <c r="AD18" s="378"/>
      <c r="AE18" s="378"/>
      <c r="AF18" s="378"/>
      <c r="AG18" s="378"/>
      <c r="AH18" s="378"/>
      <c r="AI18" s="378"/>
      <c r="AJ18" s="378"/>
      <c r="AK18" s="378"/>
      <c r="AL18" s="378"/>
      <c r="AM18" s="378"/>
      <c r="AN18" s="378"/>
      <c r="AO18" s="378"/>
      <c r="AP18" s="378"/>
      <c r="AQ18" s="378"/>
      <c r="AR18" s="378"/>
      <c r="AS18" s="378"/>
      <c r="AT18" s="378"/>
      <c r="AU18" s="378"/>
      <c r="AV18" s="378"/>
    </row>
    <row r="19" spans="1:4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c r="AB19" s="378"/>
      <c r="AC19" s="378"/>
      <c r="AD19" s="378"/>
      <c r="AE19" s="378"/>
      <c r="AF19" s="378"/>
      <c r="AG19" s="378"/>
      <c r="AH19" s="378"/>
      <c r="AI19" s="378"/>
      <c r="AJ19" s="378"/>
      <c r="AK19" s="378"/>
      <c r="AL19" s="378"/>
      <c r="AM19" s="378"/>
      <c r="AN19" s="378"/>
      <c r="AO19" s="378"/>
      <c r="AP19" s="378"/>
      <c r="AQ19" s="378"/>
      <c r="AR19" s="378"/>
      <c r="AS19" s="378"/>
      <c r="AT19" s="378"/>
      <c r="AU19" s="378"/>
      <c r="AV19" s="378"/>
    </row>
    <row r="20" spans="1:4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378"/>
      <c r="AB20" s="378"/>
      <c r="AC20" s="378"/>
      <c r="AD20" s="378"/>
      <c r="AE20" s="378"/>
      <c r="AF20" s="378"/>
      <c r="AG20" s="378"/>
      <c r="AH20" s="378"/>
      <c r="AI20" s="378"/>
      <c r="AJ20" s="378"/>
      <c r="AK20" s="378"/>
      <c r="AL20" s="378"/>
      <c r="AM20" s="378"/>
      <c r="AN20" s="378"/>
      <c r="AO20" s="378"/>
      <c r="AP20" s="378"/>
      <c r="AQ20" s="378"/>
      <c r="AR20" s="378"/>
      <c r="AS20" s="378"/>
      <c r="AT20" s="378"/>
      <c r="AU20" s="378"/>
      <c r="AV20" s="378"/>
    </row>
    <row r="21" spans="1:48" x14ac:dyDescent="0.25">
      <c r="A21" s="450" t="s">
        <v>406</v>
      </c>
      <c r="B21" s="450"/>
      <c r="C21" s="450"/>
      <c r="D21" s="450"/>
      <c r="E21" s="450"/>
      <c r="F21" s="450"/>
      <c r="G21" s="450"/>
      <c r="H21" s="450"/>
      <c r="I21" s="450"/>
      <c r="J21" s="450"/>
      <c r="K21" s="450"/>
      <c r="L21" s="450"/>
      <c r="M21" s="450"/>
      <c r="N21" s="450"/>
      <c r="O21" s="450"/>
      <c r="P21" s="450"/>
      <c r="Q21" s="450"/>
      <c r="R21" s="450"/>
      <c r="S21" s="450"/>
      <c r="T21" s="450"/>
      <c r="U21" s="450"/>
      <c r="V21" s="450"/>
      <c r="W21" s="450"/>
      <c r="X21" s="450"/>
      <c r="Y21" s="450"/>
      <c r="Z21" s="450"/>
      <c r="AA21" s="450"/>
      <c r="AB21" s="450"/>
      <c r="AC21" s="450"/>
      <c r="AD21" s="450"/>
      <c r="AE21" s="450"/>
      <c r="AF21" s="450"/>
      <c r="AG21" s="450"/>
      <c r="AH21" s="450"/>
      <c r="AI21" s="450"/>
      <c r="AJ21" s="450"/>
      <c r="AK21" s="450"/>
      <c r="AL21" s="450"/>
      <c r="AM21" s="450"/>
      <c r="AN21" s="450"/>
      <c r="AO21" s="450"/>
      <c r="AP21" s="450"/>
      <c r="AQ21" s="450"/>
      <c r="AR21" s="450"/>
      <c r="AS21" s="450"/>
      <c r="AT21" s="450"/>
      <c r="AU21" s="450"/>
      <c r="AV21" s="450"/>
    </row>
    <row r="22" spans="1:48" ht="58.5" customHeight="1" x14ac:dyDescent="0.25">
      <c r="A22" s="451" t="s">
        <v>50</v>
      </c>
      <c r="B22" s="455" t="s">
        <v>22</v>
      </c>
      <c r="C22" s="443" t="s">
        <v>49</v>
      </c>
      <c r="D22" s="443" t="s">
        <v>48</v>
      </c>
      <c r="E22" s="458" t="s">
        <v>416</v>
      </c>
      <c r="F22" s="459"/>
      <c r="G22" s="459"/>
      <c r="H22" s="459"/>
      <c r="I22" s="459"/>
      <c r="J22" s="459"/>
      <c r="K22" s="459"/>
      <c r="L22" s="460"/>
      <c r="M22" s="443" t="s">
        <v>47</v>
      </c>
      <c r="N22" s="443" t="s">
        <v>46</v>
      </c>
      <c r="O22" s="443" t="s">
        <v>45</v>
      </c>
      <c r="P22" s="438" t="s">
        <v>228</v>
      </c>
      <c r="Q22" s="438" t="s">
        <v>44</v>
      </c>
      <c r="R22" s="438" t="s">
        <v>43</v>
      </c>
      <c r="S22" s="438" t="s">
        <v>42</v>
      </c>
      <c r="T22" s="438"/>
      <c r="U22" s="445" t="s">
        <v>41</v>
      </c>
      <c r="V22" s="445" t="s">
        <v>40</v>
      </c>
      <c r="W22" s="438" t="s">
        <v>39</v>
      </c>
      <c r="X22" s="438" t="s">
        <v>38</v>
      </c>
      <c r="Y22" s="438" t="s">
        <v>37</v>
      </c>
      <c r="Z22" s="445" t="s">
        <v>36</v>
      </c>
      <c r="AA22" s="438" t="s">
        <v>35</v>
      </c>
      <c r="AB22" s="438" t="s">
        <v>34</v>
      </c>
      <c r="AC22" s="438" t="s">
        <v>33</v>
      </c>
      <c r="AD22" s="438" t="s">
        <v>32</v>
      </c>
      <c r="AE22" s="438" t="s">
        <v>31</v>
      </c>
      <c r="AF22" s="438" t="s">
        <v>30</v>
      </c>
      <c r="AG22" s="438"/>
      <c r="AH22" s="438"/>
      <c r="AI22" s="438"/>
      <c r="AJ22" s="438"/>
      <c r="AK22" s="438"/>
      <c r="AL22" s="438" t="s">
        <v>29</v>
      </c>
      <c r="AM22" s="438"/>
      <c r="AN22" s="438"/>
      <c r="AO22" s="438"/>
      <c r="AP22" s="438" t="s">
        <v>28</v>
      </c>
      <c r="AQ22" s="438"/>
      <c r="AR22" s="438" t="s">
        <v>27</v>
      </c>
      <c r="AS22" s="438" t="s">
        <v>26</v>
      </c>
      <c r="AT22" s="438" t="s">
        <v>25</v>
      </c>
      <c r="AU22" s="438" t="s">
        <v>24</v>
      </c>
      <c r="AV22" s="438" t="s">
        <v>23</v>
      </c>
    </row>
    <row r="23" spans="1:48" ht="64.5" customHeight="1" x14ac:dyDescent="0.25">
      <c r="A23" s="452"/>
      <c r="B23" s="456"/>
      <c r="C23" s="454"/>
      <c r="D23" s="454"/>
      <c r="E23" s="446" t="s">
        <v>21</v>
      </c>
      <c r="F23" s="439" t="s">
        <v>126</v>
      </c>
      <c r="G23" s="439" t="s">
        <v>125</v>
      </c>
      <c r="H23" s="439" t="s">
        <v>124</v>
      </c>
      <c r="I23" s="441" t="s">
        <v>353</v>
      </c>
      <c r="J23" s="441" t="s">
        <v>354</v>
      </c>
      <c r="K23" s="441" t="s">
        <v>355</v>
      </c>
      <c r="L23" s="439" t="s">
        <v>74</v>
      </c>
      <c r="M23" s="454"/>
      <c r="N23" s="454"/>
      <c r="O23" s="454"/>
      <c r="P23" s="438"/>
      <c r="Q23" s="438"/>
      <c r="R23" s="438"/>
      <c r="S23" s="448" t="s">
        <v>2</v>
      </c>
      <c r="T23" s="448" t="s">
        <v>9</v>
      </c>
      <c r="U23" s="445"/>
      <c r="V23" s="445"/>
      <c r="W23" s="438"/>
      <c r="X23" s="438"/>
      <c r="Y23" s="438"/>
      <c r="Z23" s="438"/>
      <c r="AA23" s="438"/>
      <c r="AB23" s="438"/>
      <c r="AC23" s="438"/>
      <c r="AD23" s="438"/>
      <c r="AE23" s="438"/>
      <c r="AF23" s="438" t="s">
        <v>20</v>
      </c>
      <c r="AG23" s="438"/>
      <c r="AH23" s="438" t="s">
        <v>19</v>
      </c>
      <c r="AI23" s="438"/>
      <c r="AJ23" s="443" t="s">
        <v>18</v>
      </c>
      <c r="AK23" s="443" t="s">
        <v>17</v>
      </c>
      <c r="AL23" s="443" t="s">
        <v>16</v>
      </c>
      <c r="AM23" s="443" t="s">
        <v>15</v>
      </c>
      <c r="AN23" s="443" t="s">
        <v>14</v>
      </c>
      <c r="AO23" s="443" t="s">
        <v>13</v>
      </c>
      <c r="AP23" s="443" t="s">
        <v>12</v>
      </c>
      <c r="AQ23" s="443" t="s">
        <v>9</v>
      </c>
      <c r="AR23" s="438"/>
      <c r="AS23" s="438"/>
      <c r="AT23" s="438"/>
      <c r="AU23" s="438"/>
      <c r="AV23" s="438"/>
    </row>
    <row r="24" spans="1:48" ht="96.75" customHeight="1" x14ac:dyDescent="0.25">
      <c r="A24" s="453"/>
      <c r="B24" s="457"/>
      <c r="C24" s="444"/>
      <c r="D24" s="444"/>
      <c r="E24" s="447"/>
      <c r="F24" s="440"/>
      <c r="G24" s="440"/>
      <c r="H24" s="440"/>
      <c r="I24" s="442"/>
      <c r="J24" s="442"/>
      <c r="K24" s="442"/>
      <c r="L24" s="440"/>
      <c r="M24" s="444"/>
      <c r="N24" s="444"/>
      <c r="O24" s="444"/>
      <c r="P24" s="438"/>
      <c r="Q24" s="438"/>
      <c r="R24" s="438"/>
      <c r="S24" s="449"/>
      <c r="T24" s="449"/>
      <c r="U24" s="445"/>
      <c r="V24" s="445"/>
      <c r="W24" s="438"/>
      <c r="X24" s="438"/>
      <c r="Y24" s="438"/>
      <c r="Z24" s="438"/>
      <c r="AA24" s="438"/>
      <c r="AB24" s="438"/>
      <c r="AC24" s="438"/>
      <c r="AD24" s="438"/>
      <c r="AE24" s="438"/>
      <c r="AF24" s="137" t="s">
        <v>11</v>
      </c>
      <c r="AG24" s="137" t="s">
        <v>10</v>
      </c>
      <c r="AH24" s="138" t="s">
        <v>2</v>
      </c>
      <c r="AI24" s="138" t="s">
        <v>9</v>
      </c>
      <c r="AJ24" s="444"/>
      <c r="AK24" s="444"/>
      <c r="AL24" s="444"/>
      <c r="AM24" s="444"/>
      <c r="AN24" s="444"/>
      <c r="AO24" s="444"/>
      <c r="AP24" s="444"/>
      <c r="AQ24" s="444"/>
      <c r="AR24" s="438"/>
      <c r="AS24" s="438"/>
      <c r="AT24" s="438"/>
      <c r="AU24" s="438"/>
      <c r="AV24" s="438"/>
    </row>
    <row r="25" spans="1:48" s="141" customFormat="1" ht="11.25" x14ac:dyDescent="0.2">
      <c r="A25" s="139">
        <v>1</v>
      </c>
      <c r="B25" s="140">
        <v>2</v>
      </c>
      <c r="C25" s="140">
        <v>4</v>
      </c>
      <c r="D25" s="140">
        <v>5</v>
      </c>
      <c r="E25" s="140">
        <v>6</v>
      </c>
      <c r="F25" s="140">
        <f>E25+1</f>
        <v>7</v>
      </c>
      <c r="G25" s="140">
        <f t="shared" ref="G25:H25" si="0">F25+1</f>
        <v>8</v>
      </c>
      <c r="H25" s="140">
        <f t="shared" si="0"/>
        <v>9</v>
      </c>
      <c r="I25" s="140">
        <f t="shared" ref="I25" si="1">H25+1</f>
        <v>10</v>
      </c>
      <c r="J25" s="140">
        <f t="shared" ref="J25" si="2">I25+1</f>
        <v>11</v>
      </c>
      <c r="K25" s="140">
        <f t="shared" ref="K25" si="3">J25+1</f>
        <v>12</v>
      </c>
      <c r="L25" s="140">
        <f t="shared" ref="L25" si="4">K25+1</f>
        <v>13</v>
      </c>
      <c r="M25" s="140">
        <f t="shared" ref="M25" si="5">L25+1</f>
        <v>14</v>
      </c>
      <c r="N25" s="140">
        <f t="shared" ref="N25" si="6">M25+1</f>
        <v>15</v>
      </c>
      <c r="O25" s="140">
        <f t="shared" ref="O25" si="7">N25+1</f>
        <v>16</v>
      </c>
      <c r="P25" s="140">
        <f t="shared" ref="P25" si="8">O25+1</f>
        <v>17</v>
      </c>
      <c r="Q25" s="140">
        <f t="shared" ref="Q25" si="9">P25+1</f>
        <v>18</v>
      </c>
      <c r="R25" s="140">
        <f t="shared" ref="R25" si="10">Q25+1</f>
        <v>19</v>
      </c>
      <c r="S25" s="140">
        <f t="shared" ref="S25" si="11">R25+1</f>
        <v>20</v>
      </c>
      <c r="T25" s="140">
        <f t="shared" ref="T25" si="12">S25+1</f>
        <v>21</v>
      </c>
      <c r="U25" s="140">
        <f t="shared" ref="U25" si="13">T25+1</f>
        <v>22</v>
      </c>
      <c r="V25" s="140">
        <f t="shared" ref="V25" si="14">U25+1</f>
        <v>23</v>
      </c>
      <c r="W25" s="140">
        <f t="shared" ref="W25" si="15">V25+1</f>
        <v>24</v>
      </c>
      <c r="X25" s="140">
        <f t="shared" ref="X25" si="16">W25+1</f>
        <v>25</v>
      </c>
      <c r="Y25" s="140">
        <f t="shared" ref="Y25" si="17">X25+1</f>
        <v>26</v>
      </c>
      <c r="Z25" s="140">
        <f t="shared" ref="Z25" si="18">Y25+1</f>
        <v>27</v>
      </c>
      <c r="AA25" s="140">
        <f t="shared" ref="AA25" si="19">Z25+1</f>
        <v>28</v>
      </c>
      <c r="AB25" s="140">
        <f t="shared" ref="AB25" si="20">AA25+1</f>
        <v>29</v>
      </c>
      <c r="AC25" s="140">
        <f t="shared" ref="AC25" si="21">AB25+1</f>
        <v>30</v>
      </c>
      <c r="AD25" s="140">
        <f t="shared" ref="AD25" si="22">AC25+1</f>
        <v>31</v>
      </c>
      <c r="AE25" s="140">
        <f t="shared" ref="AE25" si="23">AD25+1</f>
        <v>32</v>
      </c>
      <c r="AF25" s="140">
        <f t="shared" ref="AF25" si="24">AE25+1</f>
        <v>33</v>
      </c>
      <c r="AG25" s="140">
        <f t="shared" ref="AG25" si="25">AF25+1</f>
        <v>34</v>
      </c>
      <c r="AH25" s="140">
        <f t="shared" ref="AH25" si="26">AG25+1</f>
        <v>35</v>
      </c>
      <c r="AI25" s="140">
        <f t="shared" ref="AI25" si="27">AH25+1</f>
        <v>36</v>
      </c>
      <c r="AJ25" s="140">
        <f t="shared" ref="AJ25" si="28">AI25+1</f>
        <v>37</v>
      </c>
      <c r="AK25" s="140">
        <f t="shared" ref="AK25" si="29">AJ25+1</f>
        <v>38</v>
      </c>
      <c r="AL25" s="140">
        <f t="shared" ref="AL25" si="30">AK25+1</f>
        <v>39</v>
      </c>
      <c r="AM25" s="140">
        <f t="shared" ref="AM25" si="31">AL25+1</f>
        <v>40</v>
      </c>
      <c r="AN25" s="140">
        <f t="shared" ref="AN25" si="32">AM25+1</f>
        <v>41</v>
      </c>
      <c r="AO25" s="140">
        <f t="shared" ref="AO25" si="33">AN25+1</f>
        <v>42</v>
      </c>
      <c r="AP25" s="140">
        <f t="shared" ref="AP25" si="34">AO25+1</f>
        <v>43</v>
      </c>
      <c r="AQ25" s="140">
        <f t="shared" ref="AQ25" si="35">AP25+1</f>
        <v>44</v>
      </c>
      <c r="AR25" s="140">
        <f t="shared" ref="AR25" si="36">AQ25+1</f>
        <v>45</v>
      </c>
      <c r="AS25" s="140">
        <f t="shared" ref="AS25" si="37">AR25+1</f>
        <v>46</v>
      </c>
      <c r="AT25" s="140">
        <f t="shared" ref="AT25" si="38">AS25+1</f>
        <v>47</v>
      </c>
      <c r="AU25" s="140">
        <f t="shared" ref="AU25" si="39">AT25+1</f>
        <v>48</v>
      </c>
      <c r="AV25" s="140">
        <f t="shared" ref="AV25" si="40">AU25+1</f>
        <v>49</v>
      </c>
    </row>
    <row r="26" spans="1:48" s="147" customFormat="1" ht="189" x14ac:dyDescent="0.25">
      <c r="A26" s="142">
        <v>1</v>
      </c>
      <c r="B26" s="143" t="str">
        <f>A9</f>
        <v xml:space="preserve">Акционерное общество "Западная энергетическая компания" </v>
      </c>
      <c r="C26" s="143" t="s">
        <v>62</v>
      </c>
      <c r="D26" s="157">
        <f>'6.1. Паспорт сетевой график'!D53</f>
        <v>47340</v>
      </c>
      <c r="E26" s="143"/>
      <c r="F26" s="143"/>
      <c r="G26" s="143" t="e">
        <f>'3.1. паспорт Техсостояние ПС'!#REF!</f>
        <v>#REF!</v>
      </c>
      <c r="H26" s="143"/>
      <c r="I26" s="143"/>
      <c r="J26" s="143">
        <v>5.6660000000000004</v>
      </c>
      <c r="K26" s="143">
        <v>1.85</v>
      </c>
      <c r="L26" s="143"/>
      <c r="M26" s="143" t="s">
        <v>561</v>
      </c>
      <c r="N26" s="143" t="s">
        <v>562</v>
      </c>
      <c r="O26" s="144" t="str">
        <f>B26</f>
        <v xml:space="preserve">Акционерное общество "Западная энергетическая компания" </v>
      </c>
      <c r="P26" s="144"/>
      <c r="Q26" s="143"/>
      <c r="R26" s="144"/>
      <c r="S26" s="144"/>
      <c r="T26" s="144"/>
      <c r="U26" s="144"/>
      <c r="V26" s="144"/>
      <c r="W26" s="144"/>
      <c r="X26" s="144"/>
      <c r="Y26" s="144"/>
      <c r="Z26" s="144"/>
      <c r="AA26" s="144"/>
      <c r="AB26" s="144"/>
      <c r="AC26" s="144"/>
      <c r="AD26" s="143"/>
      <c r="AE26" s="143"/>
      <c r="AF26" s="145"/>
      <c r="AG26" s="145"/>
      <c r="AH26" s="146"/>
      <c r="AI26" s="146"/>
      <c r="AJ26" s="146"/>
      <c r="AK26" s="146"/>
      <c r="AL26" s="143"/>
      <c r="AM26" s="143"/>
      <c r="AN26" s="143"/>
      <c r="AO26" s="143"/>
      <c r="AP26" s="175"/>
      <c r="AQ26" s="175"/>
      <c r="AR26" s="175"/>
      <c r="AS26" s="175"/>
      <c r="AT26" s="175"/>
      <c r="AU26" s="143"/>
      <c r="AV26" s="143"/>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18" zoomScale="90" zoomScaleNormal="90" zoomScaleSheetLayoutView="90" workbookViewId="0">
      <selection activeCell="B121" sqref="B121"/>
    </sheetView>
  </sheetViews>
  <sheetFormatPr defaultRowHeight="15.75" x14ac:dyDescent="0.25"/>
  <cols>
    <col min="1" max="2" width="66.140625" style="54" customWidth="1"/>
    <col min="3" max="3" width="8.85546875" style="31" hidden="1" customWidth="1"/>
    <col min="4" max="4" width="0" style="31" hidden="1" customWidth="1"/>
    <col min="5" max="256" width="8.85546875" style="31"/>
    <col min="257" max="258" width="66.140625" style="31" customWidth="1"/>
    <col min="259" max="512" width="8.85546875" style="31"/>
    <col min="513" max="514" width="66.140625" style="31" customWidth="1"/>
    <col min="515" max="768" width="8.85546875" style="31"/>
    <col min="769" max="770" width="66.140625" style="31" customWidth="1"/>
    <col min="771" max="1024" width="8.85546875" style="31"/>
    <col min="1025" max="1026" width="66.140625" style="31" customWidth="1"/>
    <col min="1027" max="1280" width="8.85546875" style="31"/>
    <col min="1281" max="1282" width="66.140625" style="31" customWidth="1"/>
    <col min="1283" max="1536" width="8.85546875" style="31"/>
    <col min="1537" max="1538" width="66.140625" style="31" customWidth="1"/>
    <col min="1539" max="1792" width="8.85546875" style="31"/>
    <col min="1793" max="1794" width="66.140625" style="31" customWidth="1"/>
    <col min="1795" max="2048" width="8.85546875" style="31"/>
    <col min="2049" max="2050" width="66.140625" style="31" customWidth="1"/>
    <col min="2051" max="2304" width="8.85546875" style="31"/>
    <col min="2305" max="2306" width="66.140625" style="31" customWidth="1"/>
    <col min="2307" max="2560" width="8.85546875" style="31"/>
    <col min="2561" max="2562" width="66.140625" style="31" customWidth="1"/>
    <col min="2563" max="2816" width="8.85546875" style="31"/>
    <col min="2817" max="2818" width="66.140625" style="31" customWidth="1"/>
    <col min="2819" max="3072" width="8.85546875" style="31"/>
    <col min="3073" max="3074" width="66.140625" style="31" customWidth="1"/>
    <col min="3075" max="3328" width="8.85546875" style="31"/>
    <col min="3329" max="3330" width="66.140625" style="31" customWidth="1"/>
    <col min="3331" max="3584" width="8.85546875" style="31"/>
    <col min="3585" max="3586" width="66.140625" style="31" customWidth="1"/>
    <col min="3587" max="3840" width="8.85546875" style="31"/>
    <col min="3841" max="3842" width="66.140625" style="31" customWidth="1"/>
    <col min="3843" max="4096" width="8.85546875" style="31"/>
    <col min="4097" max="4098" width="66.140625" style="31" customWidth="1"/>
    <col min="4099" max="4352" width="8.85546875" style="31"/>
    <col min="4353" max="4354" width="66.140625" style="31" customWidth="1"/>
    <col min="4355" max="4608" width="8.85546875" style="31"/>
    <col min="4609" max="4610" width="66.140625" style="31" customWidth="1"/>
    <col min="4611" max="4864" width="8.85546875" style="31"/>
    <col min="4865" max="4866" width="66.140625" style="31" customWidth="1"/>
    <col min="4867" max="5120" width="8.85546875" style="31"/>
    <col min="5121" max="5122" width="66.140625" style="31" customWidth="1"/>
    <col min="5123" max="5376" width="8.85546875" style="31"/>
    <col min="5377" max="5378" width="66.140625" style="31" customWidth="1"/>
    <col min="5379" max="5632" width="8.85546875" style="31"/>
    <col min="5633" max="5634" width="66.140625" style="31" customWidth="1"/>
    <col min="5635" max="5888" width="8.85546875" style="31"/>
    <col min="5889" max="5890" width="66.140625" style="31" customWidth="1"/>
    <col min="5891" max="6144" width="8.85546875" style="31"/>
    <col min="6145" max="6146" width="66.140625" style="31" customWidth="1"/>
    <col min="6147" max="6400" width="8.85546875" style="31"/>
    <col min="6401" max="6402" width="66.140625" style="31" customWidth="1"/>
    <col min="6403" max="6656" width="8.85546875" style="31"/>
    <col min="6657" max="6658" width="66.140625" style="31" customWidth="1"/>
    <col min="6659" max="6912" width="8.85546875" style="31"/>
    <col min="6913" max="6914" width="66.140625" style="31" customWidth="1"/>
    <col min="6915" max="7168" width="8.85546875" style="31"/>
    <col min="7169" max="7170" width="66.140625" style="31" customWidth="1"/>
    <col min="7171" max="7424" width="8.85546875" style="31"/>
    <col min="7425" max="7426" width="66.140625" style="31" customWidth="1"/>
    <col min="7427" max="7680" width="8.85546875" style="31"/>
    <col min="7681" max="7682" width="66.140625" style="31" customWidth="1"/>
    <col min="7683" max="7936" width="8.85546875" style="31"/>
    <col min="7937" max="7938" width="66.140625" style="31" customWidth="1"/>
    <col min="7939" max="8192" width="8.85546875" style="31"/>
    <col min="8193" max="8194" width="66.140625" style="31" customWidth="1"/>
    <col min="8195" max="8448" width="8.85546875" style="31"/>
    <col min="8449" max="8450" width="66.140625" style="31" customWidth="1"/>
    <col min="8451" max="8704" width="8.85546875" style="31"/>
    <col min="8705" max="8706" width="66.140625" style="31" customWidth="1"/>
    <col min="8707" max="8960" width="8.85546875" style="31"/>
    <col min="8961" max="8962" width="66.140625" style="31" customWidth="1"/>
    <col min="8963" max="9216" width="8.85546875" style="31"/>
    <col min="9217" max="9218" width="66.140625" style="31" customWidth="1"/>
    <col min="9219" max="9472" width="8.85546875" style="31"/>
    <col min="9473" max="9474" width="66.140625" style="31" customWidth="1"/>
    <col min="9475" max="9728" width="8.85546875" style="31"/>
    <col min="9729" max="9730" width="66.140625" style="31" customWidth="1"/>
    <col min="9731" max="9984" width="8.85546875" style="31"/>
    <col min="9985" max="9986" width="66.140625" style="31" customWidth="1"/>
    <col min="9987" max="10240" width="8.85546875" style="31"/>
    <col min="10241" max="10242" width="66.140625" style="31" customWidth="1"/>
    <col min="10243" max="10496" width="8.85546875" style="31"/>
    <col min="10497" max="10498" width="66.140625" style="31" customWidth="1"/>
    <col min="10499" max="10752" width="8.85546875" style="31"/>
    <col min="10753" max="10754" width="66.140625" style="31" customWidth="1"/>
    <col min="10755" max="11008" width="8.85546875" style="31"/>
    <col min="11009" max="11010" width="66.140625" style="31" customWidth="1"/>
    <col min="11011" max="11264" width="8.85546875" style="31"/>
    <col min="11265" max="11266" width="66.140625" style="31" customWidth="1"/>
    <col min="11267" max="11520" width="8.85546875" style="31"/>
    <col min="11521" max="11522" width="66.140625" style="31" customWidth="1"/>
    <col min="11523" max="11776" width="8.85546875" style="31"/>
    <col min="11777" max="11778" width="66.140625" style="31" customWidth="1"/>
    <col min="11779" max="12032" width="8.85546875" style="31"/>
    <col min="12033" max="12034" width="66.140625" style="31" customWidth="1"/>
    <col min="12035" max="12288" width="8.85546875" style="31"/>
    <col min="12289" max="12290" width="66.140625" style="31" customWidth="1"/>
    <col min="12291" max="12544" width="8.85546875" style="31"/>
    <col min="12545" max="12546" width="66.140625" style="31" customWidth="1"/>
    <col min="12547" max="12800" width="8.85546875" style="31"/>
    <col min="12801" max="12802" width="66.140625" style="31" customWidth="1"/>
    <col min="12803" max="13056" width="8.85546875" style="31"/>
    <col min="13057" max="13058" width="66.140625" style="31" customWidth="1"/>
    <col min="13059" max="13312" width="8.85546875" style="31"/>
    <col min="13313" max="13314" width="66.140625" style="31" customWidth="1"/>
    <col min="13315" max="13568" width="8.85546875" style="31"/>
    <col min="13569" max="13570" width="66.140625" style="31" customWidth="1"/>
    <col min="13571" max="13824" width="8.85546875" style="31"/>
    <col min="13825" max="13826" width="66.140625" style="31" customWidth="1"/>
    <col min="13827" max="14080" width="8.85546875" style="31"/>
    <col min="14081" max="14082" width="66.140625" style="31" customWidth="1"/>
    <col min="14083" max="14336" width="8.85546875" style="31"/>
    <col min="14337" max="14338" width="66.140625" style="31" customWidth="1"/>
    <col min="14339" max="14592" width="8.85546875" style="31"/>
    <col min="14593" max="14594" width="66.140625" style="31" customWidth="1"/>
    <col min="14595" max="14848" width="8.85546875" style="31"/>
    <col min="14849" max="14850" width="66.140625" style="31" customWidth="1"/>
    <col min="14851" max="15104" width="8.85546875" style="31"/>
    <col min="15105" max="15106" width="66.140625" style="31" customWidth="1"/>
    <col min="15107" max="15360" width="8.85546875" style="31"/>
    <col min="15361" max="15362" width="66.140625" style="31" customWidth="1"/>
    <col min="15363" max="15616" width="8.85546875" style="31"/>
    <col min="15617" max="15618" width="66.140625" style="31" customWidth="1"/>
    <col min="15619" max="15872" width="8.85546875" style="31"/>
    <col min="15873" max="15874" width="66.140625" style="31" customWidth="1"/>
    <col min="15875" max="16128" width="8.85546875" style="31"/>
    <col min="16129" max="16130" width="66.140625" style="31" customWidth="1"/>
    <col min="16131" max="16384" width="8.85546875" style="31"/>
  </cols>
  <sheetData>
    <row r="1" spans="1:8" ht="18.75" x14ac:dyDescent="0.25">
      <c r="B1" s="20" t="s">
        <v>66</v>
      </c>
    </row>
    <row r="2" spans="1:8" ht="18.75" x14ac:dyDescent="0.3">
      <c r="B2" s="11" t="s">
        <v>8</v>
      </c>
    </row>
    <row r="3" spans="1:8" ht="18.75" x14ac:dyDescent="0.3">
      <c r="B3" s="11" t="s">
        <v>422</v>
      </c>
    </row>
    <row r="4" spans="1:8" x14ac:dyDescent="0.25">
      <c r="B4" s="23"/>
    </row>
    <row r="5" spans="1:8" ht="18.75" x14ac:dyDescent="0.3">
      <c r="A5" s="466" t="str">
        <f>'1. паспорт местоположение'!A5:C5</f>
        <v>Год раскрытия информации: 2024 год</v>
      </c>
      <c r="B5" s="466"/>
      <c r="C5" s="51"/>
      <c r="D5" s="51"/>
      <c r="E5" s="51"/>
      <c r="F5" s="51"/>
      <c r="G5" s="51"/>
      <c r="H5" s="51"/>
    </row>
    <row r="6" spans="1:8" ht="18.75" x14ac:dyDescent="0.3">
      <c r="A6" s="81"/>
      <c r="B6" s="81"/>
      <c r="C6" s="81"/>
      <c r="D6" s="81"/>
      <c r="E6" s="81"/>
      <c r="F6" s="81"/>
      <c r="G6" s="81"/>
      <c r="H6" s="81"/>
    </row>
    <row r="7" spans="1:8" ht="18.75" x14ac:dyDescent="0.25">
      <c r="A7" s="340" t="s">
        <v>7</v>
      </c>
      <c r="B7" s="340"/>
      <c r="C7" s="104"/>
      <c r="D7" s="104"/>
      <c r="E7" s="104"/>
      <c r="F7" s="104"/>
      <c r="G7" s="104"/>
      <c r="H7" s="104"/>
    </row>
    <row r="8" spans="1:8" ht="18.75" x14ac:dyDescent="0.25">
      <c r="A8" s="104"/>
      <c r="B8" s="104"/>
      <c r="C8" s="104"/>
      <c r="D8" s="104"/>
      <c r="E8" s="104"/>
      <c r="F8" s="104"/>
      <c r="G8" s="104"/>
      <c r="H8" s="104"/>
    </row>
    <row r="9" spans="1:8" x14ac:dyDescent="0.25">
      <c r="A9" s="338" t="str">
        <f>'1. паспорт местоположение'!A9:C9</f>
        <v xml:space="preserve">Акционерное общество "Западная энергетическая компания" </v>
      </c>
      <c r="B9" s="338"/>
      <c r="C9" s="106"/>
      <c r="D9" s="106"/>
      <c r="E9" s="106"/>
      <c r="F9" s="106"/>
      <c r="G9" s="106"/>
      <c r="H9" s="106"/>
    </row>
    <row r="10" spans="1:8" x14ac:dyDescent="0.25">
      <c r="A10" s="344" t="s">
        <v>6</v>
      </c>
      <c r="B10" s="344"/>
      <c r="C10" s="107"/>
      <c r="D10" s="107"/>
      <c r="E10" s="107"/>
      <c r="F10" s="107"/>
      <c r="G10" s="107"/>
      <c r="H10" s="107"/>
    </row>
    <row r="11" spans="1:8" ht="18.75" x14ac:dyDescent="0.25">
      <c r="A11" s="104"/>
      <c r="B11" s="104"/>
      <c r="C11" s="104"/>
      <c r="D11" s="104"/>
      <c r="E11" s="104"/>
      <c r="F11" s="104"/>
      <c r="G11" s="104"/>
      <c r="H11" s="104"/>
    </row>
    <row r="12" spans="1:8" ht="30.75" customHeight="1" x14ac:dyDescent="0.25">
      <c r="A12" s="338" t="str">
        <f>'1. паспорт местоположение'!A12:C12</f>
        <v>O 24-35</v>
      </c>
      <c r="B12" s="338"/>
      <c r="C12" s="106"/>
      <c r="D12" s="106"/>
      <c r="E12" s="106"/>
      <c r="F12" s="106"/>
      <c r="G12" s="106"/>
      <c r="H12" s="106"/>
    </row>
    <row r="13" spans="1:8" x14ac:dyDescent="0.25">
      <c r="A13" s="344" t="s">
        <v>5</v>
      </c>
      <c r="B13" s="344"/>
      <c r="C13" s="107"/>
      <c r="D13" s="107"/>
      <c r="E13" s="107"/>
      <c r="F13" s="107"/>
      <c r="G13" s="107"/>
      <c r="H13" s="107"/>
    </row>
    <row r="14" spans="1:8" ht="18.75" x14ac:dyDescent="0.25">
      <c r="A14" s="121"/>
      <c r="B14" s="121"/>
      <c r="C14" s="121"/>
      <c r="D14" s="121"/>
      <c r="E14" s="121"/>
      <c r="F14" s="121"/>
      <c r="G14" s="121"/>
      <c r="H14" s="121"/>
    </row>
    <row r="15" spans="1:8" ht="63.6" customHeight="1" x14ac:dyDescent="0.25">
      <c r="A15" s="377" t="str">
        <f>'1. паспорт местоположение'!A15:C15</f>
        <v>Покупка объектов основных средств электросетевого хозяйства</v>
      </c>
      <c r="B15" s="377"/>
      <c r="C15" s="106"/>
      <c r="D15" s="106"/>
      <c r="E15" s="106"/>
      <c r="F15" s="106"/>
      <c r="G15" s="106"/>
      <c r="H15" s="106"/>
    </row>
    <row r="16" spans="1:8" x14ac:dyDescent="0.25">
      <c r="A16" s="344" t="s">
        <v>4</v>
      </c>
      <c r="B16" s="344"/>
      <c r="C16" s="107"/>
      <c r="D16" s="107"/>
      <c r="E16" s="107"/>
      <c r="F16" s="107"/>
      <c r="G16" s="107"/>
      <c r="H16" s="107"/>
    </row>
    <row r="17" spans="1:2" x14ac:dyDescent="0.25">
      <c r="B17" s="55"/>
    </row>
    <row r="18" spans="1:2" ht="33.75" customHeight="1" x14ac:dyDescent="0.25">
      <c r="A18" s="461" t="s">
        <v>407</v>
      </c>
      <c r="B18" s="462"/>
    </row>
    <row r="19" spans="1:2" x14ac:dyDescent="0.25">
      <c r="B19" s="23"/>
    </row>
    <row r="20" spans="1:2" ht="16.5" thickBot="1" x14ac:dyDescent="0.3">
      <c r="B20" s="56"/>
    </row>
    <row r="21" spans="1:2" ht="65.25" customHeight="1" thickBot="1" x14ac:dyDescent="0.3">
      <c r="A21" s="57" t="s">
        <v>304</v>
      </c>
      <c r="B21" s="98" t="str">
        <f>A15</f>
        <v>Покупка объектов основных средств электросетевого хозяйства</v>
      </c>
    </row>
    <row r="22" spans="1:2" ht="30" customHeight="1" thickBot="1" x14ac:dyDescent="0.3">
      <c r="A22" s="57" t="s">
        <v>305</v>
      </c>
      <c r="B22" s="178" t="str">
        <f>'1. паспорт местоположение'!C27</f>
        <v xml:space="preserve"> МО "город Калининград"</v>
      </c>
    </row>
    <row r="23" spans="1:2" ht="30.75" thickBot="1" x14ac:dyDescent="0.3">
      <c r="A23" s="57" t="s">
        <v>289</v>
      </c>
      <c r="B23" s="59" t="str">
        <f>'3.3 паспорт описание'!C22</f>
        <v>Увеличение объема услуг по передачи электрической энергии потребителям через сети ТСО.</v>
      </c>
    </row>
    <row r="24" spans="1:2" ht="16.5" thickBot="1" x14ac:dyDescent="0.3">
      <c r="A24" s="57" t="s">
        <v>306</v>
      </c>
      <c r="B24" s="59" t="s">
        <v>580</v>
      </c>
    </row>
    <row r="25" spans="1:2" ht="16.5" thickBot="1" x14ac:dyDescent="0.3">
      <c r="A25" s="60" t="s">
        <v>307</v>
      </c>
      <c r="B25" s="58">
        <f>'3.3 паспорт описание'!C29</f>
        <v>2029</v>
      </c>
    </row>
    <row r="26" spans="1:2" ht="16.5" thickBot="1" x14ac:dyDescent="0.3">
      <c r="A26" s="61" t="s">
        <v>308</v>
      </c>
      <c r="B26" s="96"/>
    </row>
    <row r="27" spans="1:2" ht="29.25" thickBot="1" x14ac:dyDescent="0.3">
      <c r="A27" s="68" t="s">
        <v>563</v>
      </c>
      <c r="B27" s="97">
        <f>'6.2. Паспорт фин осв ввод'!C24</f>
        <v>46.270399999999995</v>
      </c>
    </row>
    <row r="28" spans="1:2" ht="42" customHeight="1" thickBot="1" x14ac:dyDescent="0.3">
      <c r="A28" s="63" t="s">
        <v>309</v>
      </c>
      <c r="B28" s="63" t="s">
        <v>581</v>
      </c>
    </row>
    <row r="29" spans="1:2" ht="29.25" thickBot="1" x14ac:dyDescent="0.3">
      <c r="A29" s="69" t="s">
        <v>310</v>
      </c>
      <c r="B29" s="97"/>
    </row>
    <row r="30" spans="1:2" ht="29.25" thickBot="1" x14ac:dyDescent="0.3">
      <c r="A30" s="69" t="s">
        <v>311</v>
      </c>
      <c r="B30" s="97"/>
    </row>
    <row r="31" spans="1:2" ht="16.5" thickBot="1" x14ac:dyDescent="0.3">
      <c r="A31" s="63" t="s">
        <v>312</v>
      </c>
      <c r="B31" s="97"/>
    </row>
    <row r="32" spans="1:2" ht="29.25" thickBot="1" x14ac:dyDescent="0.3">
      <c r="A32" s="69" t="s">
        <v>313</v>
      </c>
      <c r="B32" s="97"/>
    </row>
    <row r="33" spans="1:3" s="148" customFormat="1" ht="16.5" thickBot="1" x14ac:dyDescent="0.3">
      <c r="A33" s="155"/>
      <c r="B33" s="156"/>
      <c r="C33" s="148">
        <v>10</v>
      </c>
    </row>
    <row r="34" spans="1:3" ht="16.5" thickBot="1" x14ac:dyDescent="0.3">
      <c r="A34" s="63" t="s">
        <v>315</v>
      </c>
      <c r="B34" s="88"/>
    </row>
    <row r="35" spans="1:3" ht="16.5" thickBot="1" x14ac:dyDescent="0.3">
      <c r="A35" s="63" t="s">
        <v>316</v>
      </c>
      <c r="B35" s="97"/>
      <c r="C35" s="31">
        <v>1</v>
      </c>
    </row>
    <row r="36" spans="1:3" ht="16.5" thickBot="1" x14ac:dyDescent="0.3">
      <c r="A36" s="63" t="s">
        <v>317</v>
      </c>
      <c r="B36" s="97"/>
      <c r="C36" s="31">
        <v>2</v>
      </c>
    </row>
    <row r="37" spans="1:3" s="148" customFormat="1" ht="16.5" thickBot="1" x14ac:dyDescent="0.3">
      <c r="A37" s="86" t="s">
        <v>314</v>
      </c>
      <c r="B37" s="87"/>
      <c r="C37" s="148">
        <v>10</v>
      </c>
    </row>
    <row r="38" spans="1:3" ht="16.5" thickBot="1" x14ac:dyDescent="0.3">
      <c r="A38" s="63" t="s">
        <v>315</v>
      </c>
      <c r="B38" s="88">
        <v>0</v>
      </c>
    </row>
    <row r="39" spans="1:3" ht="16.5" thickBot="1" x14ac:dyDescent="0.3">
      <c r="A39" s="63" t="s">
        <v>316</v>
      </c>
      <c r="B39" s="85"/>
      <c r="C39" s="31">
        <v>1</v>
      </c>
    </row>
    <row r="40" spans="1:3" ht="16.5" thickBot="1" x14ac:dyDescent="0.3">
      <c r="A40" s="63" t="s">
        <v>317</v>
      </c>
      <c r="B40" s="85"/>
      <c r="C40" s="31">
        <v>2</v>
      </c>
    </row>
    <row r="41" spans="1:3" ht="16.5" thickBot="1" x14ac:dyDescent="0.3">
      <c r="A41" s="86" t="s">
        <v>314</v>
      </c>
      <c r="B41" s="87"/>
      <c r="C41" s="148">
        <v>10</v>
      </c>
    </row>
    <row r="42" spans="1:3" ht="16.5" thickBot="1" x14ac:dyDescent="0.3">
      <c r="A42" s="63" t="s">
        <v>315</v>
      </c>
      <c r="B42" s="88">
        <v>0</v>
      </c>
    </row>
    <row r="43" spans="1:3" ht="16.5" thickBot="1" x14ac:dyDescent="0.3">
      <c r="A43" s="63" t="s">
        <v>316</v>
      </c>
      <c r="B43" s="85"/>
      <c r="C43" s="31">
        <v>1</v>
      </c>
    </row>
    <row r="44" spans="1:3" ht="16.5" thickBot="1" x14ac:dyDescent="0.3">
      <c r="A44" s="63" t="s">
        <v>317</v>
      </c>
      <c r="B44" s="85"/>
      <c r="C44" s="31">
        <v>2</v>
      </c>
    </row>
    <row r="45" spans="1:3" ht="16.5" thickBot="1" x14ac:dyDescent="0.3">
      <c r="A45" s="86" t="s">
        <v>314</v>
      </c>
      <c r="B45" s="87"/>
      <c r="C45" s="148">
        <v>10</v>
      </c>
    </row>
    <row r="46" spans="1:3" ht="16.5" thickBot="1" x14ac:dyDescent="0.3">
      <c r="A46" s="63" t="s">
        <v>315</v>
      </c>
      <c r="B46" s="88">
        <v>0</v>
      </c>
    </row>
    <row r="47" spans="1:3" ht="16.5" thickBot="1" x14ac:dyDescent="0.3">
      <c r="A47" s="63" t="s">
        <v>316</v>
      </c>
      <c r="B47" s="85"/>
      <c r="C47" s="31">
        <v>1</v>
      </c>
    </row>
    <row r="48" spans="1:3" ht="16.5" thickBot="1" x14ac:dyDescent="0.3">
      <c r="A48" s="63" t="s">
        <v>317</v>
      </c>
      <c r="B48" s="85"/>
      <c r="C48" s="31">
        <v>2</v>
      </c>
    </row>
    <row r="49" spans="1:3" ht="16.5" thickBot="1" x14ac:dyDescent="0.3">
      <c r="A49" s="86" t="s">
        <v>314</v>
      </c>
      <c r="B49" s="87"/>
      <c r="C49" s="148">
        <v>10</v>
      </c>
    </row>
    <row r="50" spans="1:3" ht="16.5" thickBot="1" x14ac:dyDescent="0.3">
      <c r="A50" s="63" t="s">
        <v>315</v>
      </c>
      <c r="B50" s="88">
        <v>0</v>
      </c>
    </row>
    <row r="51" spans="1:3" ht="16.5" thickBot="1" x14ac:dyDescent="0.3">
      <c r="A51" s="63" t="s">
        <v>316</v>
      </c>
      <c r="B51" s="85"/>
      <c r="C51" s="31">
        <v>1</v>
      </c>
    </row>
    <row r="52" spans="1:3" ht="16.5" thickBot="1" x14ac:dyDescent="0.3">
      <c r="A52" s="63" t="s">
        <v>317</v>
      </c>
      <c r="B52" s="85"/>
      <c r="C52" s="31">
        <v>2</v>
      </c>
    </row>
    <row r="53" spans="1:3" ht="29.25" thickBot="1" x14ac:dyDescent="0.3">
      <c r="A53" s="69" t="s">
        <v>318</v>
      </c>
      <c r="B53" s="85">
        <f xml:space="preserve"> SUMIF(C54:C110, 20,B54:B110)</f>
        <v>0</v>
      </c>
    </row>
    <row r="54" spans="1:3" s="148" customFormat="1" ht="16.5" thickBot="1" x14ac:dyDescent="0.3">
      <c r="A54" s="86" t="s">
        <v>314</v>
      </c>
      <c r="B54" s="87"/>
      <c r="C54" s="148">
        <v>20</v>
      </c>
    </row>
    <row r="55" spans="1:3" ht="16.5" thickBot="1" x14ac:dyDescent="0.3">
      <c r="A55" s="63" t="s">
        <v>315</v>
      </c>
      <c r="B55" s="88">
        <v>0</v>
      </c>
    </row>
    <row r="56" spans="1:3" ht="16.5" thickBot="1" x14ac:dyDescent="0.3">
      <c r="A56" s="63" t="s">
        <v>316</v>
      </c>
      <c r="B56" s="85"/>
      <c r="C56" s="31">
        <v>1</v>
      </c>
    </row>
    <row r="57" spans="1:3" ht="16.5" thickBot="1" x14ac:dyDescent="0.3">
      <c r="A57" s="63" t="s">
        <v>317</v>
      </c>
      <c r="B57" s="85"/>
      <c r="C57" s="31">
        <v>2</v>
      </c>
    </row>
    <row r="58" spans="1:3" s="148" customFormat="1" ht="16.5" thickBot="1" x14ac:dyDescent="0.3">
      <c r="A58" s="86" t="s">
        <v>314</v>
      </c>
      <c r="B58" s="87"/>
      <c r="C58" s="148">
        <v>20</v>
      </c>
    </row>
    <row r="59" spans="1:3" ht="16.5" thickBot="1" x14ac:dyDescent="0.3">
      <c r="A59" s="63" t="s">
        <v>315</v>
      </c>
      <c r="B59" s="88">
        <v>0</v>
      </c>
    </row>
    <row r="60" spans="1:3" ht="16.5" thickBot="1" x14ac:dyDescent="0.3">
      <c r="A60" s="63" t="s">
        <v>316</v>
      </c>
      <c r="B60" s="85"/>
      <c r="C60" s="31">
        <v>1</v>
      </c>
    </row>
    <row r="61" spans="1:3" ht="16.5" thickBot="1" x14ac:dyDescent="0.3">
      <c r="A61" s="63" t="s">
        <v>317</v>
      </c>
      <c r="B61" s="85"/>
      <c r="C61" s="31">
        <v>2</v>
      </c>
    </row>
    <row r="62" spans="1:3" s="148" customFormat="1" ht="16.5" thickBot="1" x14ac:dyDescent="0.3">
      <c r="A62" s="86" t="s">
        <v>314</v>
      </c>
      <c r="B62" s="87"/>
      <c r="C62" s="148">
        <v>20</v>
      </c>
    </row>
    <row r="63" spans="1:3" ht="16.5" thickBot="1" x14ac:dyDescent="0.3">
      <c r="A63" s="63" t="s">
        <v>315</v>
      </c>
      <c r="B63" s="88">
        <v>0</v>
      </c>
    </row>
    <row r="64" spans="1:3" ht="16.5" thickBot="1" x14ac:dyDescent="0.3">
      <c r="A64" s="63" t="s">
        <v>316</v>
      </c>
      <c r="B64" s="85"/>
      <c r="C64" s="31">
        <v>1</v>
      </c>
    </row>
    <row r="65" spans="1:3" ht="16.5" thickBot="1" x14ac:dyDescent="0.3">
      <c r="A65" s="63" t="s">
        <v>317</v>
      </c>
      <c r="B65" s="85"/>
      <c r="C65" s="31">
        <v>2</v>
      </c>
    </row>
    <row r="66" spans="1:3" s="148" customFormat="1" ht="16.5" thickBot="1" x14ac:dyDescent="0.3">
      <c r="A66" s="86" t="s">
        <v>314</v>
      </c>
      <c r="B66" s="87"/>
      <c r="C66" s="148">
        <v>20</v>
      </c>
    </row>
    <row r="67" spans="1:3" ht="16.5" thickBot="1" x14ac:dyDescent="0.3">
      <c r="A67" s="63" t="s">
        <v>315</v>
      </c>
      <c r="B67" s="88">
        <v>0</v>
      </c>
    </row>
    <row r="68" spans="1:3" ht="16.5" thickBot="1" x14ac:dyDescent="0.3">
      <c r="A68" s="63" t="s">
        <v>316</v>
      </c>
      <c r="B68" s="85"/>
      <c r="C68" s="31">
        <v>1</v>
      </c>
    </row>
    <row r="69" spans="1:3" ht="16.5" thickBot="1" x14ac:dyDescent="0.3">
      <c r="A69" s="63" t="s">
        <v>317</v>
      </c>
      <c r="B69" s="85"/>
      <c r="C69" s="31">
        <v>2</v>
      </c>
    </row>
    <row r="70" spans="1:3" ht="29.25" thickBot="1" x14ac:dyDescent="0.3">
      <c r="A70" s="69" t="s">
        <v>319</v>
      </c>
      <c r="B70" s="85"/>
    </row>
    <row r="71" spans="1:3" s="148" customFormat="1" ht="16.5" thickBot="1" x14ac:dyDescent="0.3">
      <c r="A71" s="155"/>
      <c r="B71" s="156"/>
      <c r="C71" s="148">
        <v>30</v>
      </c>
    </row>
    <row r="72" spans="1:3" ht="16.5" thickBot="1" x14ac:dyDescent="0.3">
      <c r="A72" s="63" t="s">
        <v>315</v>
      </c>
      <c r="B72" s="88"/>
    </row>
    <row r="73" spans="1:3" ht="16.5" thickBot="1" x14ac:dyDescent="0.3">
      <c r="A73" s="63" t="s">
        <v>316</v>
      </c>
      <c r="B73" s="97"/>
      <c r="C73" s="31">
        <v>1</v>
      </c>
    </row>
    <row r="74" spans="1:3" ht="16.5" thickBot="1" x14ac:dyDescent="0.3">
      <c r="A74" s="63" t="s">
        <v>317</v>
      </c>
      <c r="B74" s="97"/>
      <c r="C74" s="31">
        <v>2</v>
      </c>
    </row>
    <row r="75" spans="1:3" s="148" customFormat="1" ht="16.5" thickBot="1" x14ac:dyDescent="0.3">
      <c r="A75" s="155"/>
      <c r="B75" s="156"/>
      <c r="C75" s="148">
        <v>30</v>
      </c>
    </row>
    <row r="76" spans="1:3" ht="16.5" thickBot="1" x14ac:dyDescent="0.3">
      <c r="A76" s="63" t="s">
        <v>315</v>
      </c>
      <c r="B76" s="88"/>
    </row>
    <row r="77" spans="1:3" ht="16.5" thickBot="1" x14ac:dyDescent="0.3">
      <c r="A77" s="63" t="s">
        <v>316</v>
      </c>
      <c r="B77" s="97"/>
      <c r="C77" s="31">
        <v>1</v>
      </c>
    </row>
    <row r="78" spans="1:3" ht="16.5" thickBot="1" x14ac:dyDescent="0.3">
      <c r="A78" s="63" t="s">
        <v>317</v>
      </c>
      <c r="B78" s="97"/>
      <c r="C78" s="31">
        <v>2</v>
      </c>
    </row>
    <row r="79" spans="1:3" s="148" customFormat="1" ht="16.5" thickBot="1" x14ac:dyDescent="0.3">
      <c r="A79" s="155"/>
      <c r="B79" s="156"/>
      <c r="C79" s="148">
        <v>30</v>
      </c>
    </row>
    <row r="80" spans="1:3" ht="16.5" thickBot="1" x14ac:dyDescent="0.3">
      <c r="A80" s="63" t="s">
        <v>315</v>
      </c>
      <c r="B80" s="88"/>
    </row>
    <row r="81" spans="1:3" ht="16.5" thickBot="1" x14ac:dyDescent="0.3">
      <c r="A81" s="63" t="s">
        <v>316</v>
      </c>
      <c r="B81" s="85"/>
      <c r="C81" s="31">
        <v>1</v>
      </c>
    </row>
    <row r="82" spans="1:3" ht="16.5" thickBot="1" x14ac:dyDescent="0.3">
      <c r="A82" s="63" t="s">
        <v>317</v>
      </c>
      <c r="B82" s="85"/>
      <c r="C82" s="31">
        <v>2</v>
      </c>
    </row>
    <row r="83" spans="1:3" s="148" customFormat="1" ht="16.5" thickBot="1" x14ac:dyDescent="0.3">
      <c r="A83" s="86" t="s">
        <v>314</v>
      </c>
      <c r="B83" s="87"/>
      <c r="C83" s="148">
        <v>30</v>
      </c>
    </row>
    <row r="84" spans="1:3" ht="16.5" thickBot="1" x14ac:dyDescent="0.3">
      <c r="A84" s="63" t="s">
        <v>315</v>
      </c>
      <c r="B84" s="88"/>
    </row>
    <row r="85" spans="1:3" ht="16.5" thickBot="1" x14ac:dyDescent="0.3">
      <c r="A85" s="63" t="s">
        <v>316</v>
      </c>
      <c r="B85" s="85"/>
      <c r="C85" s="31">
        <v>1</v>
      </c>
    </row>
    <row r="86" spans="1:3" ht="16.5" thickBot="1" x14ac:dyDescent="0.3">
      <c r="A86" s="63" t="s">
        <v>317</v>
      </c>
      <c r="B86" s="85"/>
      <c r="C86" s="31">
        <v>2</v>
      </c>
    </row>
    <row r="87" spans="1:3" s="148" customFormat="1" ht="16.5" thickBot="1" x14ac:dyDescent="0.3">
      <c r="A87" s="86" t="s">
        <v>314</v>
      </c>
      <c r="B87" s="87"/>
      <c r="C87" s="148">
        <v>30</v>
      </c>
    </row>
    <row r="88" spans="1:3" ht="16.5" thickBot="1" x14ac:dyDescent="0.3">
      <c r="A88" s="63" t="s">
        <v>315</v>
      </c>
      <c r="B88" s="88"/>
    </row>
    <row r="89" spans="1:3" ht="16.5" thickBot="1" x14ac:dyDescent="0.3">
      <c r="A89" s="63" t="s">
        <v>316</v>
      </c>
      <c r="B89" s="85"/>
      <c r="C89" s="31">
        <v>1</v>
      </c>
    </row>
    <row r="90" spans="1:3" ht="16.5" thickBot="1" x14ac:dyDescent="0.3">
      <c r="A90" s="63" t="s">
        <v>317</v>
      </c>
      <c r="B90" s="85"/>
      <c r="C90" s="31">
        <v>2</v>
      </c>
    </row>
    <row r="91" spans="1:3" s="148" customFormat="1" ht="16.5" thickBot="1" x14ac:dyDescent="0.3">
      <c r="A91" s="86" t="s">
        <v>314</v>
      </c>
      <c r="B91" s="87"/>
      <c r="C91" s="148">
        <v>30</v>
      </c>
    </row>
    <row r="92" spans="1:3" ht="16.5" thickBot="1" x14ac:dyDescent="0.3">
      <c r="A92" s="63" t="s">
        <v>315</v>
      </c>
      <c r="B92" s="88"/>
    </row>
    <row r="93" spans="1:3" ht="16.5" thickBot="1" x14ac:dyDescent="0.3">
      <c r="A93" s="63" t="s">
        <v>316</v>
      </c>
      <c r="B93" s="85"/>
      <c r="C93" s="31">
        <v>1</v>
      </c>
    </row>
    <row r="94" spans="1:3" ht="16.5" thickBot="1" x14ac:dyDescent="0.3">
      <c r="A94" s="63" t="s">
        <v>317</v>
      </c>
      <c r="B94" s="85"/>
      <c r="C94" s="31">
        <v>2</v>
      </c>
    </row>
    <row r="95" spans="1:3" s="148" customFormat="1" ht="16.5" thickBot="1" x14ac:dyDescent="0.3">
      <c r="A95" s="86" t="s">
        <v>314</v>
      </c>
      <c r="B95" s="87"/>
      <c r="C95" s="148">
        <v>30</v>
      </c>
    </row>
    <row r="96" spans="1:3" ht="16.5" thickBot="1" x14ac:dyDescent="0.3">
      <c r="A96" s="63" t="s">
        <v>315</v>
      </c>
      <c r="B96" s="88"/>
    </row>
    <row r="97" spans="1:3" ht="16.5" thickBot="1" x14ac:dyDescent="0.3">
      <c r="A97" s="63" t="s">
        <v>316</v>
      </c>
      <c r="B97" s="85"/>
      <c r="C97" s="31">
        <v>1</v>
      </c>
    </row>
    <row r="98" spans="1:3" ht="16.5" thickBot="1" x14ac:dyDescent="0.3">
      <c r="A98" s="63" t="s">
        <v>317</v>
      </c>
      <c r="B98" s="85"/>
      <c r="C98" s="31">
        <v>2</v>
      </c>
    </row>
    <row r="99" spans="1:3" s="148" customFormat="1" ht="16.5" thickBot="1" x14ac:dyDescent="0.3">
      <c r="A99" s="86" t="s">
        <v>314</v>
      </c>
      <c r="B99" s="87"/>
      <c r="C99" s="148">
        <v>30</v>
      </c>
    </row>
    <row r="100" spans="1:3" ht="16.5" thickBot="1" x14ac:dyDescent="0.3">
      <c r="A100" s="63" t="s">
        <v>315</v>
      </c>
      <c r="B100" s="88">
        <v>0</v>
      </c>
    </row>
    <row r="101" spans="1:3" ht="16.5" thickBot="1" x14ac:dyDescent="0.3">
      <c r="A101" s="63" t="s">
        <v>316</v>
      </c>
      <c r="B101" s="85"/>
      <c r="C101" s="31">
        <v>1</v>
      </c>
    </row>
    <row r="102" spans="1:3" ht="16.5" thickBot="1" x14ac:dyDescent="0.3">
      <c r="A102" s="63" t="s">
        <v>317</v>
      </c>
      <c r="B102" s="85"/>
      <c r="C102" s="31">
        <v>2</v>
      </c>
    </row>
    <row r="103" spans="1:3" s="148" customFormat="1" ht="16.5" thickBot="1" x14ac:dyDescent="0.3">
      <c r="A103" s="86" t="s">
        <v>314</v>
      </c>
      <c r="B103" s="87"/>
      <c r="C103" s="148">
        <v>30</v>
      </c>
    </row>
    <row r="104" spans="1:3" ht="16.5" thickBot="1" x14ac:dyDescent="0.3">
      <c r="A104" s="63" t="s">
        <v>315</v>
      </c>
      <c r="B104" s="88">
        <v>0</v>
      </c>
    </row>
    <row r="105" spans="1:3" ht="16.5" thickBot="1" x14ac:dyDescent="0.3">
      <c r="A105" s="63" t="s">
        <v>316</v>
      </c>
      <c r="B105" s="85"/>
      <c r="C105" s="31">
        <v>1</v>
      </c>
    </row>
    <row r="106" spans="1:3" ht="16.5" thickBot="1" x14ac:dyDescent="0.3">
      <c r="A106" s="63" t="s">
        <v>317</v>
      </c>
      <c r="B106" s="85"/>
      <c r="C106" s="31">
        <v>2</v>
      </c>
    </row>
    <row r="107" spans="1:3" s="148" customFormat="1" ht="16.5" thickBot="1" x14ac:dyDescent="0.3">
      <c r="A107" s="86" t="s">
        <v>314</v>
      </c>
      <c r="B107" s="87"/>
      <c r="C107" s="148">
        <v>30</v>
      </c>
    </row>
    <row r="108" spans="1:3" ht="16.5" thickBot="1" x14ac:dyDescent="0.3">
      <c r="A108" s="63" t="s">
        <v>315</v>
      </c>
      <c r="B108" s="88">
        <v>0</v>
      </c>
    </row>
    <row r="109" spans="1:3" ht="16.5" thickBot="1" x14ac:dyDescent="0.3">
      <c r="A109" s="63" t="s">
        <v>316</v>
      </c>
      <c r="B109" s="85"/>
      <c r="C109" s="31">
        <v>1</v>
      </c>
    </row>
    <row r="110" spans="1:3" ht="16.5" thickBot="1" x14ac:dyDescent="0.3">
      <c r="A110" s="63" t="s">
        <v>317</v>
      </c>
      <c r="B110" s="85"/>
      <c r="C110" s="31">
        <v>2</v>
      </c>
    </row>
    <row r="111" spans="1:3" ht="29.25" thickBot="1" x14ac:dyDescent="0.3">
      <c r="A111" s="62" t="s">
        <v>320</v>
      </c>
      <c r="B111" s="88">
        <v>0</v>
      </c>
    </row>
    <row r="112" spans="1:3" ht="16.5" thickBot="1" x14ac:dyDescent="0.3">
      <c r="A112" s="64" t="s">
        <v>312</v>
      </c>
      <c r="B112" s="70"/>
    </row>
    <row r="113" spans="1:2" ht="16.5" thickBot="1" x14ac:dyDescent="0.3">
      <c r="A113" s="64" t="s">
        <v>321</v>
      </c>
      <c r="B113" s="88">
        <v>0</v>
      </c>
    </row>
    <row r="114" spans="1:2" ht="16.5" thickBot="1" x14ac:dyDescent="0.3">
      <c r="A114" s="64" t="s">
        <v>322</v>
      </c>
      <c r="B114" s="88"/>
    </row>
    <row r="115" spans="1:2" ht="16.5" thickBot="1" x14ac:dyDescent="0.3">
      <c r="A115" s="64" t="s">
        <v>323</v>
      </c>
      <c r="B115" s="88">
        <v>0</v>
      </c>
    </row>
    <row r="116" spans="1:2" ht="16.5" thickBot="1" x14ac:dyDescent="0.3">
      <c r="A116" s="60" t="s">
        <v>324</v>
      </c>
      <c r="B116" s="89">
        <v>0</v>
      </c>
    </row>
    <row r="117" spans="1:2" ht="16.5" thickBot="1" x14ac:dyDescent="0.3">
      <c r="A117" s="60" t="s">
        <v>325</v>
      </c>
      <c r="B117" s="168">
        <f xml:space="preserve"> SUMIF(C33:C110, 1,B33:B110)</f>
        <v>0</v>
      </c>
    </row>
    <row r="118" spans="1:2" ht="16.5" thickBot="1" x14ac:dyDescent="0.3">
      <c r="A118" s="60" t="s">
        <v>326</v>
      </c>
      <c r="B118" s="89">
        <v>0</v>
      </c>
    </row>
    <row r="119" spans="1:2" ht="16.5" thickBot="1" x14ac:dyDescent="0.3">
      <c r="A119" s="61" t="s">
        <v>327</v>
      </c>
      <c r="B119" s="168">
        <f xml:space="preserve"> SUMIF(C33:C110, 2,B33:B110)</f>
        <v>0</v>
      </c>
    </row>
    <row r="120" spans="1:2" ht="15.75" customHeight="1" x14ac:dyDescent="0.25">
      <c r="A120" s="62" t="s">
        <v>328</v>
      </c>
      <c r="B120" s="64" t="s">
        <v>329</v>
      </c>
    </row>
    <row r="121" spans="1:2" x14ac:dyDescent="0.25">
      <c r="A121" s="66" t="s">
        <v>330</v>
      </c>
      <c r="B121" s="66" t="str">
        <f>A9</f>
        <v xml:space="preserve">Акционерное общество "Западная энергетическая компания" </v>
      </c>
    </row>
    <row r="122" spans="1:2" x14ac:dyDescent="0.25">
      <c r="A122" s="66" t="s">
        <v>331</v>
      </c>
      <c r="B122" s="66"/>
    </row>
    <row r="123" spans="1:2" x14ac:dyDescent="0.25">
      <c r="A123" s="66" t="s">
        <v>332</v>
      </c>
      <c r="B123" s="66"/>
    </row>
    <row r="124" spans="1:2" x14ac:dyDescent="0.25">
      <c r="A124" s="66" t="s">
        <v>333</v>
      </c>
      <c r="B124" s="66"/>
    </row>
    <row r="125" spans="1:2" ht="16.5" thickBot="1" x14ac:dyDescent="0.3">
      <c r="A125" s="67" t="s">
        <v>334</v>
      </c>
      <c r="B125" s="67"/>
    </row>
    <row r="126" spans="1:2" ht="30.75" thickBot="1" x14ac:dyDescent="0.3">
      <c r="A126" s="64" t="s">
        <v>335</v>
      </c>
      <c r="B126" s="65"/>
    </row>
    <row r="127" spans="1:2" ht="29.25" thickBot="1" x14ac:dyDescent="0.3">
      <c r="A127" s="60" t="s">
        <v>336</v>
      </c>
      <c r="B127" s="169"/>
    </row>
    <row r="128" spans="1:2" ht="16.5" thickBot="1" x14ac:dyDescent="0.3">
      <c r="A128" s="64" t="s">
        <v>312</v>
      </c>
      <c r="B128" s="170"/>
    </row>
    <row r="129" spans="1:2" ht="16.5" thickBot="1" x14ac:dyDescent="0.3">
      <c r="A129" s="64" t="s">
        <v>337</v>
      </c>
      <c r="B129" s="169"/>
    </row>
    <row r="130" spans="1:2" ht="16.5" thickBot="1" x14ac:dyDescent="0.3">
      <c r="A130" s="64" t="s">
        <v>338</v>
      </c>
      <c r="B130" s="170"/>
    </row>
    <row r="131" spans="1:2" ht="16.5" thickBot="1" x14ac:dyDescent="0.3">
      <c r="A131" s="73" t="s">
        <v>339</v>
      </c>
      <c r="B131" s="101"/>
    </row>
    <row r="132" spans="1:2" ht="16.5" thickBot="1" x14ac:dyDescent="0.3">
      <c r="A132" s="60" t="s">
        <v>340</v>
      </c>
      <c r="B132" s="71"/>
    </row>
    <row r="133" spans="1:2" ht="16.5" thickBot="1" x14ac:dyDescent="0.3">
      <c r="A133" s="66" t="s">
        <v>341</v>
      </c>
      <c r="B133" s="167">
        <f>'6.1. Паспорт сетевой график'!H43</f>
        <v>0</v>
      </c>
    </row>
    <row r="134" spans="1:2" ht="16.5" thickBot="1" x14ac:dyDescent="0.3">
      <c r="A134" s="66" t="s">
        <v>342</v>
      </c>
      <c r="B134" s="74" t="s">
        <v>544</v>
      </c>
    </row>
    <row r="135" spans="1:2" ht="16.5" thickBot="1" x14ac:dyDescent="0.3">
      <c r="A135" s="66" t="s">
        <v>343</v>
      </c>
      <c r="B135" s="74" t="s">
        <v>544</v>
      </c>
    </row>
    <row r="136" spans="1:2" ht="29.25" thickBot="1" x14ac:dyDescent="0.3">
      <c r="A136" s="75" t="s">
        <v>344</v>
      </c>
      <c r="B136" s="72" t="s">
        <v>545</v>
      </c>
    </row>
    <row r="137" spans="1:2" ht="28.5" customHeight="1" x14ac:dyDescent="0.25">
      <c r="A137" s="62" t="s">
        <v>345</v>
      </c>
      <c r="B137" s="463" t="s">
        <v>544</v>
      </c>
    </row>
    <row r="138" spans="1:2" x14ac:dyDescent="0.25">
      <c r="A138" s="66" t="s">
        <v>346</v>
      </c>
      <c r="B138" s="464"/>
    </row>
    <row r="139" spans="1:2" x14ac:dyDescent="0.25">
      <c r="A139" s="66" t="s">
        <v>347</v>
      </c>
      <c r="B139" s="464"/>
    </row>
    <row r="140" spans="1:2" x14ac:dyDescent="0.25">
      <c r="A140" s="66" t="s">
        <v>348</v>
      </c>
      <c r="B140" s="464"/>
    </row>
    <row r="141" spans="1:2" x14ac:dyDescent="0.25">
      <c r="A141" s="66" t="s">
        <v>349</v>
      </c>
      <c r="B141" s="464"/>
    </row>
    <row r="142" spans="1:2" ht="16.5" thickBot="1" x14ac:dyDescent="0.3">
      <c r="A142" s="76" t="s">
        <v>350</v>
      </c>
      <c r="B142" s="465"/>
    </row>
    <row r="145" spans="1:2" x14ac:dyDescent="0.25">
      <c r="A145" s="77"/>
      <c r="B145" s="78"/>
    </row>
    <row r="146" spans="1:2" x14ac:dyDescent="0.25">
      <c r="B146" s="79"/>
    </row>
    <row r="147" spans="1:2" x14ac:dyDescent="0.25">
      <c r="B147" s="80"/>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J  19-01_паспорт_карты ПС Куликово с заходами.kml" xr:uid="{00000000-0004-0000-0C00-000000000000}"/>
  </hyperlinks>
  <pageMargins left="0.70866141732283472" right="0.70866141732283472" top="0.74803149606299213" bottom="0.74803149606299213" header="0.31496062992125984" footer="0.31496062992125984"/>
  <pageSetup paperSize="8" scale="41"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2"/>
  <sheetViews>
    <sheetView view="pageBreakPreview" zoomScale="60" workbookViewId="0">
      <selection activeCell="B22" sqref="B22:S22"/>
    </sheetView>
  </sheetViews>
  <sheetFormatPr defaultColWidth="9.140625" defaultRowHeight="15" x14ac:dyDescent="0.25"/>
  <cols>
    <col min="1" max="1" width="7.42578125" style="114" customWidth="1"/>
    <col min="2" max="2" width="35.85546875" style="114" customWidth="1"/>
    <col min="3" max="3" width="31.140625" style="114" customWidth="1"/>
    <col min="4" max="4" width="25" style="114" customWidth="1"/>
    <col min="5" max="5" width="50" style="114" customWidth="1"/>
    <col min="6" max="6" width="57" style="114" customWidth="1"/>
    <col min="7" max="7" width="75" style="114" customWidth="1"/>
    <col min="8" max="10" width="20.5703125" style="114" customWidth="1"/>
    <col min="11" max="11" width="16" style="114" customWidth="1"/>
    <col min="12" max="12" width="20.5703125" style="114" customWidth="1"/>
    <col min="13" max="13" width="21.28515625" style="114" customWidth="1"/>
    <col min="14" max="14" width="23.85546875" style="114" customWidth="1"/>
    <col min="15" max="15" width="17.85546875" style="114" customWidth="1"/>
    <col min="16" max="16" width="23.85546875" style="114" customWidth="1"/>
    <col min="17" max="17" width="127.5703125" style="114" customWidth="1"/>
    <col min="18" max="18" width="92.42578125" style="114" customWidth="1"/>
    <col min="19" max="19" width="51.5703125" style="114" customWidth="1"/>
    <col min="20" max="16384" width="9.140625" style="114"/>
  </cols>
  <sheetData>
    <row r="1" spans="1:28" s="13" customFormat="1" ht="18.75" customHeight="1" x14ac:dyDescent="0.2">
      <c r="S1" s="20" t="s">
        <v>66</v>
      </c>
    </row>
    <row r="2" spans="1:28" s="13" customFormat="1" ht="18.75" customHeight="1" x14ac:dyDescent="0.3">
      <c r="S2" s="11" t="s">
        <v>8</v>
      </c>
    </row>
    <row r="3" spans="1:28" s="13" customFormat="1" ht="18.75" x14ac:dyDescent="0.3">
      <c r="S3" s="11" t="s">
        <v>65</v>
      </c>
    </row>
    <row r="4" spans="1:28" s="13" customFormat="1" ht="18.75" customHeight="1" x14ac:dyDescent="0.2">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row>
    <row r="5" spans="1:28" s="13" customFormat="1" ht="15.75" x14ac:dyDescent="0.2">
      <c r="A5" s="102"/>
    </row>
    <row r="6" spans="1:28" s="13" customFormat="1" ht="18.75" x14ac:dyDescent="0.2">
      <c r="A6" s="340" t="s">
        <v>7</v>
      </c>
      <c r="B6" s="340"/>
      <c r="C6" s="340"/>
      <c r="D6" s="340"/>
      <c r="E6" s="340"/>
      <c r="F6" s="340"/>
      <c r="G6" s="340"/>
      <c r="H6" s="340"/>
      <c r="I6" s="340"/>
      <c r="J6" s="340"/>
      <c r="K6" s="340"/>
      <c r="L6" s="340"/>
      <c r="M6" s="340"/>
      <c r="N6" s="340"/>
      <c r="O6" s="340"/>
      <c r="P6" s="340"/>
      <c r="Q6" s="340"/>
      <c r="R6" s="340"/>
      <c r="S6" s="340"/>
      <c r="T6" s="104"/>
      <c r="U6" s="104"/>
      <c r="V6" s="104"/>
      <c r="W6" s="104"/>
      <c r="X6" s="104"/>
      <c r="Y6" s="104"/>
      <c r="Z6" s="104"/>
      <c r="AA6" s="104"/>
      <c r="AB6" s="104"/>
    </row>
    <row r="7" spans="1:28" s="13" customFormat="1" ht="18.75" x14ac:dyDescent="0.2">
      <c r="A7" s="340"/>
      <c r="B7" s="340"/>
      <c r="C7" s="340"/>
      <c r="D7" s="340"/>
      <c r="E7" s="340"/>
      <c r="F7" s="340"/>
      <c r="G7" s="340"/>
      <c r="H7" s="340"/>
      <c r="I7" s="340"/>
      <c r="J7" s="340"/>
      <c r="K7" s="340"/>
      <c r="L7" s="340"/>
      <c r="M7" s="340"/>
      <c r="N7" s="340"/>
      <c r="O7" s="340"/>
      <c r="P7" s="340"/>
      <c r="Q7" s="340"/>
      <c r="R7" s="340"/>
      <c r="S7" s="340"/>
      <c r="T7" s="104"/>
      <c r="U7" s="104"/>
      <c r="V7" s="104"/>
      <c r="W7" s="104"/>
      <c r="X7" s="104"/>
      <c r="Y7" s="104"/>
      <c r="Z7" s="104"/>
      <c r="AA7" s="104"/>
      <c r="AB7" s="104"/>
    </row>
    <row r="8" spans="1:28" s="13" customFormat="1" ht="18.75" x14ac:dyDescent="0.2">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104"/>
      <c r="U8" s="104"/>
      <c r="V8" s="104"/>
      <c r="W8" s="104"/>
      <c r="X8" s="104"/>
      <c r="Y8" s="104"/>
      <c r="Z8" s="104"/>
      <c r="AA8" s="104"/>
      <c r="AB8" s="104"/>
    </row>
    <row r="9" spans="1:28" s="13" customFormat="1" ht="18.75" x14ac:dyDescent="0.2">
      <c r="A9" s="344" t="s">
        <v>6</v>
      </c>
      <c r="B9" s="344"/>
      <c r="C9" s="344"/>
      <c r="D9" s="344"/>
      <c r="E9" s="344"/>
      <c r="F9" s="344"/>
      <c r="G9" s="344"/>
      <c r="H9" s="344"/>
      <c r="I9" s="344"/>
      <c r="J9" s="344"/>
      <c r="K9" s="344"/>
      <c r="L9" s="344"/>
      <c r="M9" s="344"/>
      <c r="N9" s="344"/>
      <c r="O9" s="344"/>
      <c r="P9" s="344"/>
      <c r="Q9" s="344"/>
      <c r="R9" s="344"/>
      <c r="S9" s="344"/>
      <c r="T9" s="104"/>
      <c r="U9" s="104"/>
      <c r="V9" s="104"/>
      <c r="W9" s="104"/>
      <c r="X9" s="104"/>
      <c r="Y9" s="104"/>
      <c r="Z9" s="104"/>
      <c r="AA9" s="104"/>
      <c r="AB9" s="104"/>
    </row>
    <row r="10" spans="1:28" s="13" customFormat="1" ht="18.75" x14ac:dyDescent="0.2">
      <c r="A10" s="340"/>
      <c r="B10" s="340"/>
      <c r="C10" s="340"/>
      <c r="D10" s="340"/>
      <c r="E10" s="340"/>
      <c r="F10" s="340"/>
      <c r="G10" s="340"/>
      <c r="H10" s="340"/>
      <c r="I10" s="340"/>
      <c r="J10" s="340"/>
      <c r="K10" s="340"/>
      <c r="L10" s="340"/>
      <c r="M10" s="340"/>
      <c r="N10" s="340"/>
      <c r="O10" s="340"/>
      <c r="P10" s="340"/>
      <c r="Q10" s="340"/>
      <c r="R10" s="340"/>
      <c r="S10" s="340"/>
      <c r="T10" s="104"/>
      <c r="U10" s="104"/>
      <c r="V10" s="104"/>
      <c r="W10" s="104"/>
      <c r="X10" s="104"/>
      <c r="Y10" s="104"/>
      <c r="Z10" s="104"/>
      <c r="AA10" s="104"/>
      <c r="AB10" s="104"/>
    </row>
    <row r="11" spans="1:28" s="13" customFormat="1" ht="18.75" x14ac:dyDescent="0.2">
      <c r="A11" s="338" t="str">
        <f>'1. паспорт местоположение'!A12:C12</f>
        <v>O 24-35</v>
      </c>
      <c r="B11" s="338"/>
      <c r="C11" s="338"/>
      <c r="D11" s="338"/>
      <c r="E11" s="338"/>
      <c r="F11" s="338"/>
      <c r="G11" s="338"/>
      <c r="H11" s="338"/>
      <c r="I11" s="338"/>
      <c r="J11" s="338"/>
      <c r="K11" s="338"/>
      <c r="L11" s="338"/>
      <c r="M11" s="338"/>
      <c r="N11" s="338"/>
      <c r="O11" s="338"/>
      <c r="P11" s="338"/>
      <c r="Q11" s="338"/>
      <c r="R11" s="338"/>
      <c r="S11" s="338"/>
      <c r="T11" s="104"/>
      <c r="U11" s="104"/>
      <c r="V11" s="104"/>
      <c r="W11" s="104"/>
      <c r="X11" s="104"/>
      <c r="Y11" s="104"/>
      <c r="Z11" s="104"/>
      <c r="AA11" s="104"/>
      <c r="AB11" s="104"/>
    </row>
    <row r="12" spans="1:28" s="13" customFormat="1" ht="18.75" x14ac:dyDescent="0.2">
      <c r="A12" s="344" t="s">
        <v>5</v>
      </c>
      <c r="B12" s="344"/>
      <c r="C12" s="344"/>
      <c r="D12" s="344"/>
      <c r="E12" s="344"/>
      <c r="F12" s="344"/>
      <c r="G12" s="344"/>
      <c r="H12" s="344"/>
      <c r="I12" s="344"/>
      <c r="J12" s="344"/>
      <c r="K12" s="344"/>
      <c r="L12" s="344"/>
      <c r="M12" s="344"/>
      <c r="N12" s="344"/>
      <c r="O12" s="344"/>
      <c r="P12" s="344"/>
      <c r="Q12" s="344"/>
      <c r="R12" s="344"/>
      <c r="S12" s="344"/>
      <c r="T12" s="104"/>
      <c r="U12" s="104"/>
      <c r="V12" s="104"/>
      <c r="W12" s="104"/>
      <c r="X12" s="104"/>
      <c r="Y12" s="104"/>
      <c r="Z12" s="104"/>
      <c r="AA12" s="104"/>
      <c r="AB12" s="104"/>
    </row>
    <row r="13" spans="1:28" s="13" customFormat="1" ht="15.75" customHeight="1" x14ac:dyDescent="0.2">
      <c r="A13" s="345"/>
      <c r="B13" s="345"/>
      <c r="C13" s="345"/>
      <c r="D13" s="345"/>
      <c r="E13" s="345"/>
      <c r="F13" s="345"/>
      <c r="G13" s="345"/>
      <c r="H13" s="345"/>
      <c r="I13" s="345"/>
      <c r="J13" s="345"/>
      <c r="K13" s="345"/>
      <c r="L13" s="345"/>
      <c r="M13" s="345"/>
      <c r="N13" s="345"/>
      <c r="O13" s="345"/>
      <c r="P13" s="345"/>
      <c r="Q13" s="345"/>
      <c r="R13" s="345"/>
      <c r="S13" s="345"/>
      <c r="T13" s="105"/>
      <c r="U13" s="105"/>
      <c r="V13" s="105"/>
      <c r="W13" s="105"/>
      <c r="X13" s="105"/>
      <c r="Y13" s="105"/>
      <c r="Z13" s="105"/>
      <c r="AA13" s="105"/>
      <c r="AB13" s="105"/>
    </row>
    <row r="14" spans="1:28" s="103" customFormat="1" ht="15.75" x14ac:dyDescent="0.2">
      <c r="A14" s="338" t="str">
        <f>'1. паспорт местоположение'!A15:C15</f>
        <v>Покупка объектов основных средств электросетевого хозяйства</v>
      </c>
      <c r="B14" s="338"/>
      <c r="C14" s="338"/>
      <c r="D14" s="338"/>
      <c r="E14" s="338"/>
      <c r="F14" s="338"/>
      <c r="G14" s="338"/>
      <c r="H14" s="338"/>
      <c r="I14" s="338"/>
      <c r="J14" s="338"/>
      <c r="K14" s="338"/>
      <c r="L14" s="338"/>
      <c r="M14" s="338"/>
      <c r="N14" s="338"/>
      <c r="O14" s="338"/>
      <c r="P14" s="338"/>
      <c r="Q14" s="338"/>
      <c r="R14" s="338"/>
      <c r="S14" s="338"/>
      <c r="T14" s="106"/>
      <c r="U14" s="106"/>
      <c r="V14" s="106"/>
      <c r="W14" s="106"/>
      <c r="X14" s="106"/>
      <c r="Y14" s="106"/>
      <c r="Z14" s="106"/>
      <c r="AA14" s="106"/>
      <c r="AB14" s="106"/>
    </row>
    <row r="15" spans="1:28" s="103" customFormat="1" ht="15" customHeight="1" x14ac:dyDescent="0.2">
      <c r="A15" s="344" t="s">
        <v>4</v>
      </c>
      <c r="B15" s="344"/>
      <c r="C15" s="344"/>
      <c r="D15" s="344"/>
      <c r="E15" s="344"/>
      <c r="F15" s="344"/>
      <c r="G15" s="344"/>
      <c r="H15" s="344"/>
      <c r="I15" s="344"/>
      <c r="J15" s="344"/>
      <c r="K15" s="344"/>
      <c r="L15" s="344"/>
      <c r="M15" s="344"/>
      <c r="N15" s="344"/>
      <c r="O15" s="344"/>
      <c r="P15" s="344"/>
      <c r="Q15" s="344"/>
      <c r="R15" s="344"/>
      <c r="S15" s="344"/>
      <c r="T15" s="107"/>
      <c r="U15" s="107"/>
      <c r="V15" s="107"/>
      <c r="W15" s="107"/>
      <c r="X15" s="107"/>
      <c r="Y15" s="107"/>
      <c r="Z15" s="107"/>
      <c r="AA15" s="107"/>
      <c r="AB15" s="107"/>
    </row>
    <row r="16" spans="1:28" s="103" customFormat="1" ht="15" customHeight="1" x14ac:dyDescent="0.2">
      <c r="A16" s="345"/>
      <c r="B16" s="345"/>
      <c r="C16" s="345"/>
      <c r="D16" s="345"/>
      <c r="E16" s="345"/>
      <c r="F16" s="345"/>
      <c r="G16" s="345"/>
      <c r="H16" s="345"/>
      <c r="I16" s="345"/>
      <c r="J16" s="345"/>
      <c r="K16" s="345"/>
      <c r="L16" s="345"/>
      <c r="M16" s="345"/>
      <c r="N16" s="345"/>
      <c r="O16" s="345"/>
      <c r="P16" s="345"/>
      <c r="Q16" s="345"/>
      <c r="R16" s="345"/>
      <c r="S16" s="345"/>
      <c r="T16" s="105"/>
      <c r="U16" s="105"/>
      <c r="V16" s="105"/>
      <c r="W16" s="105"/>
      <c r="X16" s="105"/>
      <c r="Y16" s="105"/>
    </row>
    <row r="17" spans="1:28" s="103" customFormat="1" ht="45.75" customHeight="1" x14ac:dyDescent="0.2">
      <c r="A17" s="346" t="s">
        <v>382</v>
      </c>
      <c r="B17" s="346"/>
      <c r="C17" s="346"/>
      <c r="D17" s="346"/>
      <c r="E17" s="346"/>
      <c r="F17" s="346"/>
      <c r="G17" s="346"/>
      <c r="H17" s="346"/>
      <c r="I17" s="346"/>
      <c r="J17" s="346"/>
      <c r="K17" s="346"/>
      <c r="L17" s="346"/>
      <c r="M17" s="346"/>
      <c r="N17" s="346"/>
      <c r="O17" s="346"/>
      <c r="P17" s="346"/>
      <c r="Q17" s="346"/>
      <c r="R17" s="346"/>
      <c r="S17" s="346"/>
      <c r="T17" s="108"/>
      <c r="U17" s="108"/>
      <c r="V17" s="108"/>
      <c r="W17" s="108"/>
      <c r="X17" s="108"/>
      <c r="Y17" s="108"/>
      <c r="Z17" s="108"/>
      <c r="AA17" s="108"/>
      <c r="AB17" s="108"/>
    </row>
    <row r="18" spans="1:28" s="103" customFormat="1" ht="15" customHeight="1" x14ac:dyDescent="0.2">
      <c r="A18" s="347"/>
      <c r="B18" s="347"/>
      <c r="C18" s="347"/>
      <c r="D18" s="347"/>
      <c r="E18" s="347"/>
      <c r="F18" s="347"/>
      <c r="G18" s="347"/>
      <c r="H18" s="347"/>
      <c r="I18" s="347"/>
      <c r="J18" s="347"/>
      <c r="K18" s="347"/>
      <c r="L18" s="347"/>
      <c r="M18" s="347"/>
      <c r="N18" s="347"/>
      <c r="O18" s="347"/>
      <c r="P18" s="347"/>
      <c r="Q18" s="347"/>
      <c r="R18" s="347"/>
      <c r="S18" s="347"/>
      <c r="T18" s="105"/>
      <c r="U18" s="105"/>
      <c r="V18" s="105"/>
      <c r="W18" s="105"/>
      <c r="X18" s="105"/>
      <c r="Y18" s="105"/>
    </row>
    <row r="19" spans="1:28" s="103" customFormat="1" ht="54" customHeight="1" x14ac:dyDescent="0.2">
      <c r="A19" s="339" t="s">
        <v>3</v>
      </c>
      <c r="B19" s="339" t="s">
        <v>94</v>
      </c>
      <c r="C19" s="341" t="s">
        <v>303</v>
      </c>
      <c r="D19" s="339" t="s">
        <v>302</v>
      </c>
      <c r="E19" s="339" t="s">
        <v>93</v>
      </c>
      <c r="F19" s="339" t="s">
        <v>92</v>
      </c>
      <c r="G19" s="339" t="s">
        <v>298</v>
      </c>
      <c r="H19" s="339" t="s">
        <v>91</v>
      </c>
      <c r="I19" s="339" t="s">
        <v>90</v>
      </c>
      <c r="J19" s="339" t="s">
        <v>89</v>
      </c>
      <c r="K19" s="339" t="s">
        <v>88</v>
      </c>
      <c r="L19" s="339" t="s">
        <v>87</v>
      </c>
      <c r="M19" s="339" t="s">
        <v>86</v>
      </c>
      <c r="N19" s="339" t="s">
        <v>85</v>
      </c>
      <c r="O19" s="339" t="s">
        <v>84</v>
      </c>
      <c r="P19" s="339" t="s">
        <v>83</v>
      </c>
      <c r="Q19" s="339" t="s">
        <v>301</v>
      </c>
      <c r="R19" s="339"/>
      <c r="S19" s="343" t="s">
        <v>376</v>
      </c>
      <c r="T19" s="105"/>
      <c r="U19" s="105"/>
      <c r="V19" s="105"/>
      <c r="W19" s="105"/>
      <c r="X19" s="105"/>
      <c r="Y19" s="105"/>
    </row>
    <row r="20" spans="1:28" s="103" customFormat="1" ht="180.75" customHeight="1" x14ac:dyDescent="0.2">
      <c r="A20" s="339"/>
      <c r="B20" s="339"/>
      <c r="C20" s="342"/>
      <c r="D20" s="339"/>
      <c r="E20" s="339"/>
      <c r="F20" s="339"/>
      <c r="G20" s="339"/>
      <c r="H20" s="339"/>
      <c r="I20" s="339"/>
      <c r="J20" s="339"/>
      <c r="K20" s="339"/>
      <c r="L20" s="339"/>
      <c r="M20" s="339"/>
      <c r="N20" s="339"/>
      <c r="O20" s="339"/>
      <c r="P20" s="339"/>
      <c r="Q20" s="109" t="s">
        <v>299</v>
      </c>
      <c r="R20" s="110" t="s">
        <v>300</v>
      </c>
      <c r="S20" s="343"/>
      <c r="T20" s="105"/>
      <c r="U20" s="105"/>
      <c r="V20" s="105"/>
      <c r="W20" s="105"/>
      <c r="X20" s="105"/>
      <c r="Y20" s="105"/>
    </row>
    <row r="21" spans="1:28" s="103" customFormat="1" ht="18.75" x14ac:dyDescent="0.2">
      <c r="A21" s="109">
        <v>1</v>
      </c>
      <c r="B21" s="111">
        <v>2</v>
      </c>
      <c r="C21" s="109">
        <v>3</v>
      </c>
      <c r="D21" s="111">
        <v>4</v>
      </c>
      <c r="E21" s="109">
        <v>5</v>
      </c>
      <c r="F21" s="111">
        <v>6</v>
      </c>
      <c r="G21" s="109">
        <v>7</v>
      </c>
      <c r="H21" s="111">
        <v>8</v>
      </c>
      <c r="I21" s="109">
        <v>9</v>
      </c>
      <c r="J21" s="111">
        <v>10</v>
      </c>
      <c r="K21" s="109">
        <v>11</v>
      </c>
      <c r="L21" s="111">
        <v>12</v>
      </c>
      <c r="M21" s="109">
        <v>13</v>
      </c>
      <c r="N21" s="111">
        <v>14</v>
      </c>
      <c r="O21" s="109">
        <v>15</v>
      </c>
      <c r="P21" s="111">
        <v>16</v>
      </c>
      <c r="Q21" s="109">
        <v>17</v>
      </c>
      <c r="R21" s="111">
        <v>18</v>
      </c>
      <c r="S21" s="109">
        <v>19</v>
      </c>
      <c r="T21" s="105"/>
      <c r="U21" s="105"/>
      <c r="V21" s="105"/>
      <c r="W21" s="105"/>
      <c r="X21" s="105"/>
      <c r="Y21" s="105"/>
    </row>
    <row r="22" spans="1:28" s="103" customFormat="1" ht="49.5" customHeight="1" x14ac:dyDescent="0.2">
      <c r="A22" s="109" t="s">
        <v>538</v>
      </c>
      <c r="B22" s="109" t="s">
        <v>538</v>
      </c>
      <c r="C22" s="109" t="s">
        <v>538</v>
      </c>
      <c r="D22" s="109" t="s">
        <v>538</v>
      </c>
      <c r="E22" s="109" t="s">
        <v>538</v>
      </c>
      <c r="F22" s="109" t="s">
        <v>538</v>
      </c>
      <c r="G22" s="109" t="s">
        <v>538</v>
      </c>
      <c r="H22" s="109" t="s">
        <v>538</v>
      </c>
      <c r="I22" s="109" t="s">
        <v>538</v>
      </c>
      <c r="J22" s="109" t="s">
        <v>538</v>
      </c>
      <c r="K22" s="109" t="s">
        <v>538</v>
      </c>
      <c r="L22" s="109" t="s">
        <v>538</v>
      </c>
      <c r="M22" s="109" t="s">
        <v>538</v>
      </c>
      <c r="N22" s="109" t="s">
        <v>538</v>
      </c>
      <c r="O22" s="109" t="s">
        <v>538</v>
      </c>
      <c r="P22" s="109" t="s">
        <v>538</v>
      </c>
      <c r="Q22" s="109" t="s">
        <v>538</v>
      </c>
      <c r="R22" s="109" t="s">
        <v>538</v>
      </c>
      <c r="S22" s="109" t="s">
        <v>538</v>
      </c>
      <c r="T22" s="105"/>
      <c r="U22" s="105"/>
      <c r="V22" s="105"/>
      <c r="W22" s="105"/>
      <c r="X22" s="105"/>
      <c r="Y22" s="105"/>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63"/>
  <sheetViews>
    <sheetView view="pageBreakPreview" topLeftCell="A21" zoomScale="80" zoomScaleNormal="60" zoomScaleSheetLayoutView="80" workbookViewId="0">
      <selection activeCell="O29" sqref="O29"/>
    </sheetView>
  </sheetViews>
  <sheetFormatPr defaultColWidth="10.7109375" defaultRowHeight="15.75" x14ac:dyDescent="0.25"/>
  <cols>
    <col min="1" max="1" width="9.5703125" style="25" customWidth="1"/>
    <col min="2" max="3" width="15.7109375" style="25" customWidth="1"/>
    <col min="4" max="4" width="26.140625" style="25" customWidth="1"/>
    <col min="5" max="5" width="11.140625" style="25" customWidth="1"/>
    <col min="6" max="6" width="22.28515625" style="25" customWidth="1"/>
    <col min="7" max="7" width="11.5703125" style="25" customWidth="1"/>
    <col min="8" max="8" width="19.7109375" style="25" customWidth="1"/>
    <col min="9" max="9" width="7.28515625" style="25" customWidth="1"/>
    <col min="10" max="10" width="9.28515625" style="25" customWidth="1"/>
    <col min="11" max="11" width="10.28515625" style="25" customWidth="1"/>
    <col min="12" max="14" width="8.7109375" style="25" customWidth="1"/>
    <col min="15" max="15" width="12" style="25" customWidth="1"/>
    <col min="16" max="16" width="19.42578125" style="25" customWidth="1"/>
    <col min="17" max="17" width="21.7109375" style="25" customWidth="1"/>
    <col min="18" max="18" width="22" style="25" customWidth="1"/>
    <col min="19" max="19" width="19.7109375" style="25" customWidth="1"/>
    <col min="20" max="20" width="18.42578125" style="25" customWidth="1"/>
    <col min="21" max="237" width="10.7109375" style="25"/>
    <col min="238" max="242" width="15.7109375" style="25" customWidth="1"/>
    <col min="243" max="246" width="12.7109375" style="25" customWidth="1"/>
    <col min="247" max="250" width="15.7109375" style="25" customWidth="1"/>
    <col min="251" max="251" width="22.85546875" style="25" customWidth="1"/>
    <col min="252" max="252" width="20.7109375" style="25" customWidth="1"/>
    <col min="253" max="253" width="16.7109375" style="25" customWidth="1"/>
    <col min="254" max="493" width="10.7109375" style="25"/>
    <col min="494" max="498" width="15.7109375" style="25" customWidth="1"/>
    <col min="499" max="502" width="12.7109375" style="25" customWidth="1"/>
    <col min="503" max="506" width="15.7109375" style="25" customWidth="1"/>
    <col min="507" max="507" width="22.85546875" style="25" customWidth="1"/>
    <col min="508" max="508" width="20.7109375" style="25" customWidth="1"/>
    <col min="509" max="509" width="16.7109375" style="25" customWidth="1"/>
    <col min="510" max="749" width="10.7109375" style="25"/>
    <col min="750" max="754" width="15.7109375" style="25" customWidth="1"/>
    <col min="755" max="758" width="12.7109375" style="25" customWidth="1"/>
    <col min="759" max="762" width="15.7109375" style="25" customWidth="1"/>
    <col min="763" max="763" width="22.85546875" style="25" customWidth="1"/>
    <col min="764" max="764" width="20.7109375" style="25" customWidth="1"/>
    <col min="765" max="765" width="16.7109375" style="25" customWidth="1"/>
    <col min="766" max="1005" width="10.7109375" style="25"/>
    <col min="1006" max="1010" width="15.7109375" style="25" customWidth="1"/>
    <col min="1011" max="1014" width="12.7109375" style="25" customWidth="1"/>
    <col min="1015" max="1018" width="15.7109375" style="25" customWidth="1"/>
    <col min="1019" max="1019" width="22.85546875" style="25" customWidth="1"/>
    <col min="1020" max="1020" width="20.7109375" style="25" customWidth="1"/>
    <col min="1021" max="1021" width="16.7109375" style="25" customWidth="1"/>
    <col min="1022" max="1261" width="10.7109375" style="25"/>
    <col min="1262" max="1266" width="15.7109375" style="25" customWidth="1"/>
    <col min="1267" max="1270" width="12.7109375" style="25" customWidth="1"/>
    <col min="1271" max="1274" width="15.7109375" style="25" customWidth="1"/>
    <col min="1275" max="1275" width="22.85546875" style="25" customWidth="1"/>
    <col min="1276" max="1276" width="20.7109375" style="25" customWidth="1"/>
    <col min="1277" max="1277" width="16.7109375" style="25" customWidth="1"/>
    <col min="1278" max="1517" width="10.7109375" style="25"/>
    <col min="1518" max="1522" width="15.7109375" style="25" customWidth="1"/>
    <col min="1523" max="1526" width="12.7109375" style="25" customWidth="1"/>
    <col min="1527" max="1530" width="15.7109375" style="25" customWidth="1"/>
    <col min="1531" max="1531" width="22.85546875" style="25" customWidth="1"/>
    <col min="1532" max="1532" width="20.7109375" style="25" customWidth="1"/>
    <col min="1533" max="1533" width="16.7109375" style="25" customWidth="1"/>
    <col min="1534" max="1773" width="10.7109375" style="25"/>
    <col min="1774" max="1778" width="15.7109375" style="25" customWidth="1"/>
    <col min="1779" max="1782" width="12.7109375" style="25" customWidth="1"/>
    <col min="1783" max="1786" width="15.7109375" style="25" customWidth="1"/>
    <col min="1787" max="1787" width="22.85546875" style="25" customWidth="1"/>
    <col min="1788" max="1788" width="20.7109375" style="25" customWidth="1"/>
    <col min="1789" max="1789" width="16.7109375" style="25" customWidth="1"/>
    <col min="1790" max="2029" width="10.7109375" style="25"/>
    <col min="2030" max="2034" width="15.7109375" style="25" customWidth="1"/>
    <col min="2035" max="2038" width="12.7109375" style="25" customWidth="1"/>
    <col min="2039" max="2042" width="15.7109375" style="25" customWidth="1"/>
    <col min="2043" max="2043" width="22.85546875" style="25" customWidth="1"/>
    <col min="2044" max="2044" width="20.7109375" style="25" customWidth="1"/>
    <col min="2045" max="2045" width="16.7109375" style="25" customWidth="1"/>
    <col min="2046" max="2285" width="10.7109375" style="25"/>
    <col min="2286" max="2290" width="15.7109375" style="25" customWidth="1"/>
    <col min="2291" max="2294" width="12.7109375" style="25" customWidth="1"/>
    <col min="2295" max="2298" width="15.7109375" style="25" customWidth="1"/>
    <col min="2299" max="2299" width="22.85546875" style="25" customWidth="1"/>
    <col min="2300" max="2300" width="20.7109375" style="25" customWidth="1"/>
    <col min="2301" max="2301" width="16.7109375" style="25" customWidth="1"/>
    <col min="2302" max="2541" width="10.7109375" style="25"/>
    <col min="2542" max="2546" width="15.7109375" style="25" customWidth="1"/>
    <col min="2547" max="2550" width="12.7109375" style="25" customWidth="1"/>
    <col min="2551" max="2554" width="15.7109375" style="25" customWidth="1"/>
    <col min="2555" max="2555" width="22.85546875" style="25" customWidth="1"/>
    <col min="2556" max="2556" width="20.7109375" style="25" customWidth="1"/>
    <col min="2557" max="2557" width="16.7109375" style="25" customWidth="1"/>
    <col min="2558" max="2797" width="10.7109375" style="25"/>
    <col min="2798" max="2802" width="15.7109375" style="25" customWidth="1"/>
    <col min="2803" max="2806" width="12.7109375" style="25" customWidth="1"/>
    <col min="2807" max="2810" width="15.7109375" style="25" customWidth="1"/>
    <col min="2811" max="2811" width="22.85546875" style="25" customWidth="1"/>
    <col min="2812" max="2812" width="20.7109375" style="25" customWidth="1"/>
    <col min="2813" max="2813" width="16.7109375" style="25" customWidth="1"/>
    <col min="2814" max="3053" width="10.7109375" style="25"/>
    <col min="3054" max="3058" width="15.7109375" style="25" customWidth="1"/>
    <col min="3059" max="3062" width="12.7109375" style="25" customWidth="1"/>
    <col min="3063" max="3066" width="15.7109375" style="25" customWidth="1"/>
    <col min="3067" max="3067" width="22.85546875" style="25" customWidth="1"/>
    <col min="3068" max="3068" width="20.7109375" style="25" customWidth="1"/>
    <col min="3069" max="3069" width="16.7109375" style="25" customWidth="1"/>
    <col min="3070" max="3309" width="10.7109375" style="25"/>
    <col min="3310" max="3314" width="15.7109375" style="25" customWidth="1"/>
    <col min="3315" max="3318" width="12.7109375" style="25" customWidth="1"/>
    <col min="3319" max="3322" width="15.7109375" style="25" customWidth="1"/>
    <col min="3323" max="3323" width="22.85546875" style="25" customWidth="1"/>
    <col min="3324" max="3324" width="20.7109375" style="25" customWidth="1"/>
    <col min="3325" max="3325" width="16.7109375" style="25" customWidth="1"/>
    <col min="3326" max="3565" width="10.7109375" style="25"/>
    <col min="3566" max="3570" width="15.7109375" style="25" customWidth="1"/>
    <col min="3571" max="3574" width="12.7109375" style="25" customWidth="1"/>
    <col min="3575" max="3578" width="15.7109375" style="25" customWidth="1"/>
    <col min="3579" max="3579" width="22.85546875" style="25" customWidth="1"/>
    <col min="3580" max="3580" width="20.7109375" style="25" customWidth="1"/>
    <col min="3581" max="3581" width="16.7109375" style="25" customWidth="1"/>
    <col min="3582" max="3821" width="10.7109375" style="25"/>
    <col min="3822" max="3826" width="15.7109375" style="25" customWidth="1"/>
    <col min="3827" max="3830" width="12.7109375" style="25" customWidth="1"/>
    <col min="3831" max="3834" width="15.7109375" style="25" customWidth="1"/>
    <col min="3835" max="3835" width="22.85546875" style="25" customWidth="1"/>
    <col min="3836" max="3836" width="20.7109375" style="25" customWidth="1"/>
    <col min="3837" max="3837" width="16.7109375" style="25" customWidth="1"/>
    <col min="3838" max="4077" width="10.7109375" style="25"/>
    <col min="4078" max="4082" width="15.7109375" style="25" customWidth="1"/>
    <col min="4083" max="4086" width="12.7109375" style="25" customWidth="1"/>
    <col min="4087" max="4090" width="15.7109375" style="25" customWidth="1"/>
    <col min="4091" max="4091" width="22.85546875" style="25" customWidth="1"/>
    <col min="4092" max="4092" width="20.7109375" style="25" customWidth="1"/>
    <col min="4093" max="4093" width="16.7109375" style="25" customWidth="1"/>
    <col min="4094" max="4333" width="10.7109375" style="25"/>
    <col min="4334" max="4338" width="15.7109375" style="25" customWidth="1"/>
    <col min="4339" max="4342" width="12.7109375" style="25" customWidth="1"/>
    <col min="4343" max="4346" width="15.7109375" style="25" customWidth="1"/>
    <col min="4347" max="4347" width="22.85546875" style="25" customWidth="1"/>
    <col min="4348" max="4348" width="20.7109375" style="25" customWidth="1"/>
    <col min="4349" max="4349" width="16.7109375" style="25" customWidth="1"/>
    <col min="4350" max="4589" width="10.7109375" style="25"/>
    <col min="4590" max="4594" width="15.7109375" style="25" customWidth="1"/>
    <col min="4595" max="4598" width="12.7109375" style="25" customWidth="1"/>
    <col min="4599" max="4602" width="15.7109375" style="25" customWidth="1"/>
    <col min="4603" max="4603" width="22.85546875" style="25" customWidth="1"/>
    <col min="4604" max="4604" width="20.7109375" style="25" customWidth="1"/>
    <col min="4605" max="4605" width="16.7109375" style="25" customWidth="1"/>
    <col min="4606" max="4845" width="10.7109375" style="25"/>
    <col min="4846" max="4850" width="15.7109375" style="25" customWidth="1"/>
    <col min="4851" max="4854" width="12.7109375" style="25" customWidth="1"/>
    <col min="4855" max="4858" width="15.7109375" style="25" customWidth="1"/>
    <col min="4859" max="4859" width="22.85546875" style="25" customWidth="1"/>
    <col min="4860" max="4860" width="20.7109375" style="25" customWidth="1"/>
    <col min="4861" max="4861" width="16.7109375" style="25" customWidth="1"/>
    <col min="4862" max="5101" width="10.7109375" style="25"/>
    <col min="5102" max="5106" width="15.7109375" style="25" customWidth="1"/>
    <col min="5107" max="5110" width="12.7109375" style="25" customWidth="1"/>
    <col min="5111" max="5114" width="15.7109375" style="25" customWidth="1"/>
    <col min="5115" max="5115" width="22.85546875" style="25" customWidth="1"/>
    <col min="5116" max="5116" width="20.7109375" style="25" customWidth="1"/>
    <col min="5117" max="5117" width="16.7109375" style="25" customWidth="1"/>
    <col min="5118" max="5357" width="10.7109375" style="25"/>
    <col min="5358" max="5362" width="15.7109375" style="25" customWidth="1"/>
    <col min="5363" max="5366" width="12.7109375" style="25" customWidth="1"/>
    <col min="5367" max="5370" width="15.7109375" style="25" customWidth="1"/>
    <col min="5371" max="5371" width="22.85546875" style="25" customWidth="1"/>
    <col min="5372" max="5372" width="20.7109375" style="25" customWidth="1"/>
    <col min="5373" max="5373" width="16.7109375" style="25" customWidth="1"/>
    <col min="5374" max="5613" width="10.7109375" style="25"/>
    <col min="5614" max="5618" width="15.7109375" style="25" customWidth="1"/>
    <col min="5619" max="5622" width="12.7109375" style="25" customWidth="1"/>
    <col min="5623" max="5626" width="15.7109375" style="25" customWidth="1"/>
    <col min="5627" max="5627" width="22.85546875" style="25" customWidth="1"/>
    <col min="5628" max="5628" width="20.7109375" style="25" customWidth="1"/>
    <col min="5629" max="5629" width="16.7109375" style="25" customWidth="1"/>
    <col min="5630" max="5869" width="10.7109375" style="25"/>
    <col min="5870" max="5874" width="15.7109375" style="25" customWidth="1"/>
    <col min="5875" max="5878" width="12.7109375" style="25" customWidth="1"/>
    <col min="5879" max="5882" width="15.7109375" style="25" customWidth="1"/>
    <col min="5883" max="5883" width="22.85546875" style="25" customWidth="1"/>
    <col min="5884" max="5884" width="20.7109375" style="25" customWidth="1"/>
    <col min="5885" max="5885" width="16.7109375" style="25" customWidth="1"/>
    <col min="5886" max="6125" width="10.7109375" style="25"/>
    <col min="6126" max="6130" width="15.7109375" style="25" customWidth="1"/>
    <col min="6131" max="6134" width="12.7109375" style="25" customWidth="1"/>
    <col min="6135" max="6138" width="15.7109375" style="25" customWidth="1"/>
    <col min="6139" max="6139" width="22.85546875" style="25" customWidth="1"/>
    <col min="6140" max="6140" width="20.7109375" style="25" customWidth="1"/>
    <col min="6141" max="6141" width="16.7109375" style="25" customWidth="1"/>
    <col min="6142" max="6381" width="10.7109375" style="25"/>
    <col min="6382" max="6386" width="15.7109375" style="25" customWidth="1"/>
    <col min="6387" max="6390" width="12.7109375" style="25" customWidth="1"/>
    <col min="6391" max="6394" width="15.7109375" style="25" customWidth="1"/>
    <col min="6395" max="6395" width="22.85546875" style="25" customWidth="1"/>
    <col min="6396" max="6396" width="20.7109375" style="25" customWidth="1"/>
    <col min="6397" max="6397" width="16.7109375" style="25" customWidth="1"/>
    <col min="6398" max="6637" width="10.7109375" style="25"/>
    <col min="6638" max="6642" width="15.7109375" style="25" customWidth="1"/>
    <col min="6643" max="6646" width="12.7109375" style="25" customWidth="1"/>
    <col min="6647" max="6650" width="15.7109375" style="25" customWidth="1"/>
    <col min="6651" max="6651" width="22.85546875" style="25" customWidth="1"/>
    <col min="6652" max="6652" width="20.7109375" style="25" customWidth="1"/>
    <col min="6653" max="6653" width="16.7109375" style="25" customWidth="1"/>
    <col min="6654" max="6893" width="10.7109375" style="25"/>
    <col min="6894" max="6898" width="15.7109375" style="25" customWidth="1"/>
    <col min="6899" max="6902" width="12.7109375" style="25" customWidth="1"/>
    <col min="6903" max="6906" width="15.7109375" style="25" customWidth="1"/>
    <col min="6907" max="6907" width="22.85546875" style="25" customWidth="1"/>
    <col min="6908" max="6908" width="20.7109375" style="25" customWidth="1"/>
    <col min="6909" max="6909" width="16.7109375" style="25" customWidth="1"/>
    <col min="6910" max="7149" width="10.7109375" style="25"/>
    <col min="7150" max="7154" width="15.7109375" style="25" customWidth="1"/>
    <col min="7155" max="7158" width="12.7109375" style="25" customWidth="1"/>
    <col min="7159" max="7162" width="15.7109375" style="25" customWidth="1"/>
    <col min="7163" max="7163" width="22.85546875" style="25" customWidth="1"/>
    <col min="7164" max="7164" width="20.7109375" style="25" customWidth="1"/>
    <col min="7165" max="7165" width="16.7109375" style="25" customWidth="1"/>
    <col min="7166" max="7405" width="10.7109375" style="25"/>
    <col min="7406" max="7410" width="15.7109375" style="25" customWidth="1"/>
    <col min="7411" max="7414" width="12.7109375" style="25" customWidth="1"/>
    <col min="7415" max="7418" width="15.7109375" style="25" customWidth="1"/>
    <col min="7419" max="7419" width="22.85546875" style="25" customWidth="1"/>
    <col min="7420" max="7420" width="20.7109375" style="25" customWidth="1"/>
    <col min="7421" max="7421" width="16.7109375" style="25" customWidth="1"/>
    <col min="7422" max="7661" width="10.7109375" style="25"/>
    <col min="7662" max="7666" width="15.7109375" style="25" customWidth="1"/>
    <col min="7667" max="7670" width="12.7109375" style="25" customWidth="1"/>
    <col min="7671" max="7674" width="15.7109375" style="25" customWidth="1"/>
    <col min="7675" max="7675" width="22.85546875" style="25" customWidth="1"/>
    <col min="7676" max="7676" width="20.7109375" style="25" customWidth="1"/>
    <col min="7677" max="7677" width="16.7109375" style="25" customWidth="1"/>
    <col min="7678" max="7917" width="10.7109375" style="25"/>
    <col min="7918" max="7922" width="15.7109375" style="25" customWidth="1"/>
    <col min="7923" max="7926" width="12.7109375" style="25" customWidth="1"/>
    <col min="7927" max="7930" width="15.7109375" style="25" customWidth="1"/>
    <col min="7931" max="7931" width="22.85546875" style="25" customWidth="1"/>
    <col min="7932" max="7932" width="20.7109375" style="25" customWidth="1"/>
    <col min="7933" max="7933" width="16.7109375" style="25" customWidth="1"/>
    <col min="7934" max="8173" width="10.7109375" style="25"/>
    <col min="8174" max="8178" width="15.7109375" style="25" customWidth="1"/>
    <col min="8179" max="8182" width="12.7109375" style="25" customWidth="1"/>
    <col min="8183" max="8186" width="15.7109375" style="25" customWidth="1"/>
    <col min="8187" max="8187" width="22.85546875" style="25" customWidth="1"/>
    <col min="8188" max="8188" width="20.7109375" style="25" customWidth="1"/>
    <col min="8189" max="8189" width="16.7109375" style="25" customWidth="1"/>
    <col min="8190" max="8429" width="10.7109375" style="25"/>
    <col min="8430" max="8434" width="15.7109375" style="25" customWidth="1"/>
    <col min="8435" max="8438" width="12.7109375" style="25" customWidth="1"/>
    <col min="8439" max="8442" width="15.7109375" style="25" customWidth="1"/>
    <col min="8443" max="8443" width="22.85546875" style="25" customWidth="1"/>
    <col min="8444" max="8444" width="20.7109375" style="25" customWidth="1"/>
    <col min="8445" max="8445" width="16.7109375" style="25" customWidth="1"/>
    <col min="8446" max="8685" width="10.7109375" style="25"/>
    <col min="8686" max="8690" width="15.7109375" style="25" customWidth="1"/>
    <col min="8691" max="8694" width="12.7109375" style="25" customWidth="1"/>
    <col min="8695" max="8698" width="15.7109375" style="25" customWidth="1"/>
    <col min="8699" max="8699" width="22.85546875" style="25" customWidth="1"/>
    <col min="8700" max="8700" width="20.7109375" style="25" customWidth="1"/>
    <col min="8701" max="8701" width="16.7109375" style="25" customWidth="1"/>
    <col min="8702" max="8941" width="10.7109375" style="25"/>
    <col min="8942" max="8946" width="15.7109375" style="25" customWidth="1"/>
    <col min="8947" max="8950" width="12.7109375" style="25" customWidth="1"/>
    <col min="8951" max="8954" width="15.7109375" style="25" customWidth="1"/>
    <col min="8955" max="8955" width="22.85546875" style="25" customWidth="1"/>
    <col min="8956" max="8956" width="20.7109375" style="25" customWidth="1"/>
    <col min="8957" max="8957" width="16.7109375" style="25" customWidth="1"/>
    <col min="8958" max="9197" width="10.7109375" style="25"/>
    <col min="9198" max="9202" width="15.7109375" style="25" customWidth="1"/>
    <col min="9203" max="9206" width="12.7109375" style="25" customWidth="1"/>
    <col min="9207" max="9210" width="15.7109375" style="25" customWidth="1"/>
    <col min="9211" max="9211" width="22.85546875" style="25" customWidth="1"/>
    <col min="9212" max="9212" width="20.7109375" style="25" customWidth="1"/>
    <col min="9213" max="9213" width="16.7109375" style="25" customWidth="1"/>
    <col min="9214" max="9453" width="10.7109375" style="25"/>
    <col min="9454" max="9458" width="15.7109375" style="25" customWidth="1"/>
    <col min="9459" max="9462" width="12.7109375" style="25" customWidth="1"/>
    <col min="9463" max="9466" width="15.7109375" style="25" customWidth="1"/>
    <col min="9467" max="9467" width="22.85546875" style="25" customWidth="1"/>
    <col min="9468" max="9468" width="20.7109375" style="25" customWidth="1"/>
    <col min="9469" max="9469" width="16.7109375" style="25" customWidth="1"/>
    <col min="9470" max="9709" width="10.7109375" style="25"/>
    <col min="9710" max="9714" width="15.7109375" style="25" customWidth="1"/>
    <col min="9715" max="9718" width="12.7109375" style="25" customWidth="1"/>
    <col min="9719" max="9722" width="15.7109375" style="25" customWidth="1"/>
    <col min="9723" max="9723" width="22.85546875" style="25" customWidth="1"/>
    <col min="9724" max="9724" width="20.7109375" style="25" customWidth="1"/>
    <col min="9725" max="9725" width="16.7109375" style="25" customWidth="1"/>
    <col min="9726" max="9965" width="10.7109375" style="25"/>
    <col min="9966" max="9970" width="15.7109375" style="25" customWidth="1"/>
    <col min="9971" max="9974" width="12.7109375" style="25" customWidth="1"/>
    <col min="9975" max="9978" width="15.7109375" style="25" customWidth="1"/>
    <col min="9979" max="9979" width="22.85546875" style="25" customWidth="1"/>
    <col min="9980" max="9980" width="20.7109375" style="25" customWidth="1"/>
    <col min="9981" max="9981" width="16.7109375" style="25" customWidth="1"/>
    <col min="9982" max="10221" width="10.7109375" style="25"/>
    <col min="10222" max="10226" width="15.7109375" style="25" customWidth="1"/>
    <col min="10227" max="10230" width="12.7109375" style="25" customWidth="1"/>
    <col min="10231" max="10234" width="15.7109375" style="25" customWidth="1"/>
    <col min="10235" max="10235" width="22.85546875" style="25" customWidth="1"/>
    <col min="10236" max="10236" width="20.7109375" style="25" customWidth="1"/>
    <col min="10237" max="10237" width="16.7109375" style="25" customWidth="1"/>
    <col min="10238" max="10477" width="10.7109375" style="25"/>
    <col min="10478" max="10482" width="15.7109375" style="25" customWidth="1"/>
    <col min="10483" max="10486" width="12.7109375" style="25" customWidth="1"/>
    <col min="10487" max="10490" width="15.7109375" style="25" customWidth="1"/>
    <col min="10491" max="10491" width="22.85546875" style="25" customWidth="1"/>
    <col min="10492" max="10492" width="20.7109375" style="25" customWidth="1"/>
    <col min="10493" max="10493" width="16.7109375" style="25" customWidth="1"/>
    <col min="10494" max="10733" width="10.7109375" style="25"/>
    <col min="10734" max="10738" width="15.7109375" style="25" customWidth="1"/>
    <col min="10739" max="10742" width="12.7109375" style="25" customWidth="1"/>
    <col min="10743" max="10746" width="15.7109375" style="25" customWidth="1"/>
    <col min="10747" max="10747" width="22.85546875" style="25" customWidth="1"/>
    <col min="10748" max="10748" width="20.7109375" style="25" customWidth="1"/>
    <col min="10749" max="10749" width="16.7109375" style="25" customWidth="1"/>
    <col min="10750" max="10989" width="10.7109375" style="25"/>
    <col min="10990" max="10994" width="15.7109375" style="25" customWidth="1"/>
    <col min="10995" max="10998" width="12.7109375" style="25" customWidth="1"/>
    <col min="10999" max="11002" width="15.7109375" style="25" customWidth="1"/>
    <col min="11003" max="11003" width="22.85546875" style="25" customWidth="1"/>
    <col min="11004" max="11004" width="20.7109375" style="25" customWidth="1"/>
    <col min="11005" max="11005" width="16.7109375" style="25" customWidth="1"/>
    <col min="11006" max="11245" width="10.7109375" style="25"/>
    <col min="11246" max="11250" width="15.7109375" style="25" customWidth="1"/>
    <col min="11251" max="11254" width="12.7109375" style="25" customWidth="1"/>
    <col min="11255" max="11258" width="15.7109375" style="25" customWidth="1"/>
    <col min="11259" max="11259" width="22.85546875" style="25" customWidth="1"/>
    <col min="11260" max="11260" width="20.7109375" style="25" customWidth="1"/>
    <col min="11261" max="11261" width="16.7109375" style="25" customWidth="1"/>
    <col min="11262" max="11501" width="10.7109375" style="25"/>
    <col min="11502" max="11506" width="15.7109375" style="25" customWidth="1"/>
    <col min="11507" max="11510" width="12.7109375" style="25" customWidth="1"/>
    <col min="11511" max="11514" width="15.7109375" style="25" customWidth="1"/>
    <col min="11515" max="11515" width="22.85546875" style="25" customWidth="1"/>
    <col min="11516" max="11516" width="20.7109375" style="25" customWidth="1"/>
    <col min="11517" max="11517" width="16.7109375" style="25" customWidth="1"/>
    <col min="11518" max="11757" width="10.7109375" style="25"/>
    <col min="11758" max="11762" width="15.7109375" style="25" customWidth="1"/>
    <col min="11763" max="11766" width="12.7109375" style="25" customWidth="1"/>
    <col min="11767" max="11770" width="15.7109375" style="25" customWidth="1"/>
    <col min="11771" max="11771" width="22.85546875" style="25" customWidth="1"/>
    <col min="11772" max="11772" width="20.7109375" style="25" customWidth="1"/>
    <col min="11773" max="11773" width="16.7109375" style="25" customWidth="1"/>
    <col min="11774" max="12013" width="10.7109375" style="25"/>
    <col min="12014" max="12018" width="15.7109375" style="25" customWidth="1"/>
    <col min="12019" max="12022" width="12.7109375" style="25" customWidth="1"/>
    <col min="12023" max="12026" width="15.7109375" style="25" customWidth="1"/>
    <col min="12027" max="12027" width="22.85546875" style="25" customWidth="1"/>
    <col min="12028" max="12028" width="20.7109375" style="25" customWidth="1"/>
    <col min="12029" max="12029" width="16.7109375" style="25" customWidth="1"/>
    <col min="12030" max="12269" width="10.7109375" style="25"/>
    <col min="12270" max="12274" width="15.7109375" style="25" customWidth="1"/>
    <col min="12275" max="12278" width="12.7109375" style="25" customWidth="1"/>
    <col min="12279" max="12282" width="15.7109375" style="25" customWidth="1"/>
    <col min="12283" max="12283" width="22.85546875" style="25" customWidth="1"/>
    <col min="12284" max="12284" width="20.7109375" style="25" customWidth="1"/>
    <col min="12285" max="12285" width="16.7109375" style="25" customWidth="1"/>
    <col min="12286" max="12525" width="10.7109375" style="25"/>
    <col min="12526" max="12530" width="15.7109375" style="25" customWidth="1"/>
    <col min="12531" max="12534" width="12.7109375" style="25" customWidth="1"/>
    <col min="12535" max="12538" width="15.7109375" style="25" customWidth="1"/>
    <col min="12539" max="12539" width="22.85546875" style="25" customWidth="1"/>
    <col min="12540" max="12540" width="20.7109375" style="25" customWidth="1"/>
    <col min="12541" max="12541" width="16.7109375" style="25" customWidth="1"/>
    <col min="12542" max="12781" width="10.7109375" style="25"/>
    <col min="12782" max="12786" width="15.7109375" style="25" customWidth="1"/>
    <col min="12787" max="12790" width="12.7109375" style="25" customWidth="1"/>
    <col min="12791" max="12794" width="15.7109375" style="25" customWidth="1"/>
    <col min="12795" max="12795" width="22.85546875" style="25" customWidth="1"/>
    <col min="12796" max="12796" width="20.7109375" style="25" customWidth="1"/>
    <col min="12797" max="12797" width="16.7109375" style="25" customWidth="1"/>
    <col min="12798" max="13037" width="10.7109375" style="25"/>
    <col min="13038" max="13042" width="15.7109375" style="25" customWidth="1"/>
    <col min="13043" max="13046" width="12.7109375" style="25" customWidth="1"/>
    <col min="13047" max="13050" width="15.7109375" style="25" customWidth="1"/>
    <col min="13051" max="13051" width="22.85546875" style="25" customWidth="1"/>
    <col min="13052" max="13052" width="20.7109375" style="25" customWidth="1"/>
    <col min="13053" max="13053" width="16.7109375" style="25" customWidth="1"/>
    <col min="13054" max="13293" width="10.7109375" style="25"/>
    <col min="13294" max="13298" width="15.7109375" style="25" customWidth="1"/>
    <col min="13299" max="13302" width="12.7109375" style="25" customWidth="1"/>
    <col min="13303" max="13306" width="15.7109375" style="25" customWidth="1"/>
    <col min="13307" max="13307" width="22.85546875" style="25" customWidth="1"/>
    <col min="13308" max="13308" width="20.7109375" style="25" customWidth="1"/>
    <col min="13309" max="13309" width="16.7109375" style="25" customWidth="1"/>
    <col min="13310" max="13549" width="10.7109375" style="25"/>
    <col min="13550" max="13554" width="15.7109375" style="25" customWidth="1"/>
    <col min="13555" max="13558" width="12.7109375" style="25" customWidth="1"/>
    <col min="13559" max="13562" width="15.7109375" style="25" customWidth="1"/>
    <col min="13563" max="13563" width="22.85546875" style="25" customWidth="1"/>
    <col min="13564" max="13564" width="20.7109375" style="25" customWidth="1"/>
    <col min="13565" max="13565" width="16.7109375" style="25" customWidth="1"/>
    <col min="13566" max="13805" width="10.7109375" style="25"/>
    <col min="13806" max="13810" width="15.7109375" style="25" customWidth="1"/>
    <col min="13811" max="13814" width="12.7109375" style="25" customWidth="1"/>
    <col min="13815" max="13818" width="15.7109375" style="25" customWidth="1"/>
    <col min="13819" max="13819" width="22.85546875" style="25" customWidth="1"/>
    <col min="13820" max="13820" width="20.7109375" style="25" customWidth="1"/>
    <col min="13821" max="13821" width="16.7109375" style="25" customWidth="1"/>
    <col min="13822" max="14061" width="10.7109375" style="25"/>
    <col min="14062" max="14066" width="15.7109375" style="25" customWidth="1"/>
    <col min="14067" max="14070" width="12.7109375" style="25" customWidth="1"/>
    <col min="14071" max="14074" width="15.7109375" style="25" customWidth="1"/>
    <col min="14075" max="14075" width="22.85546875" style="25" customWidth="1"/>
    <col min="14076" max="14076" width="20.7109375" style="25" customWidth="1"/>
    <col min="14077" max="14077" width="16.7109375" style="25" customWidth="1"/>
    <col min="14078" max="14317" width="10.7109375" style="25"/>
    <col min="14318" max="14322" width="15.7109375" style="25" customWidth="1"/>
    <col min="14323" max="14326" width="12.7109375" style="25" customWidth="1"/>
    <col min="14327" max="14330" width="15.7109375" style="25" customWidth="1"/>
    <col min="14331" max="14331" width="22.85546875" style="25" customWidth="1"/>
    <col min="14332" max="14332" width="20.7109375" style="25" customWidth="1"/>
    <col min="14333" max="14333" width="16.7109375" style="25" customWidth="1"/>
    <col min="14334" max="14573" width="10.7109375" style="25"/>
    <col min="14574" max="14578" width="15.7109375" style="25" customWidth="1"/>
    <col min="14579" max="14582" width="12.7109375" style="25" customWidth="1"/>
    <col min="14583" max="14586" width="15.7109375" style="25" customWidth="1"/>
    <col min="14587" max="14587" width="22.85546875" style="25" customWidth="1"/>
    <col min="14588" max="14588" width="20.7109375" style="25" customWidth="1"/>
    <col min="14589" max="14589" width="16.7109375" style="25" customWidth="1"/>
    <col min="14590" max="14829" width="10.7109375" style="25"/>
    <col min="14830" max="14834" width="15.7109375" style="25" customWidth="1"/>
    <col min="14835" max="14838" width="12.7109375" style="25" customWidth="1"/>
    <col min="14839" max="14842" width="15.7109375" style="25" customWidth="1"/>
    <col min="14843" max="14843" width="22.85546875" style="25" customWidth="1"/>
    <col min="14844" max="14844" width="20.7109375" style="25" customWidth="1"/>
    <col min="14845" max="14845" width="16.7109375" style="25" customWidth="1"/>
    <col min="14846" max="15085" width="10.7109375" style="25"/>
    <col min="15086" max="15090" width="15.7109375" style="25" customWidth="1"/>
    <col min="15091" max="15094" width="12.7109375" style="25" customWidth="1"/>
    <col min="15095" max="15098" width="15.7109375" style="25" customWidth="1"/>
    <col min="15099" max="15099" width="22.85546875" style="25" customWidth="1"/>
    <col min="15100" max="15100" width="20.7109375" style="25" customWidth="1"/>
    <col min="15101" max="15101" width="16.7109375" style="25" customWidth="1"/>
    <col min="15102" max="15341" width="10.7109375" style="25"/>
    <col min="15342" max="15346" width="15.7109375" style="25" customWidth="1"/>
    <col min="15347" max="15350" width="12.7109375" style="25" customWidth="1"/>
    <col min="15351" max="15354" width="15.7109375" style="25" customWidth="1"/>
    <col min="15355" max="15355" width="22.85546875" style="25" customWidth="1"/>
    <col min="15356" max="15356" width="20.7109375" style="25" customWidth="1"/>
    <col min="15357" max="15357" width="16.7109375" style="25" customWidth="1"/>
    <col min="15358" max="15597" width="10.7109375" style="25"/>
    <col min="15598" max="15602" width="15.7109375" style="25" customWidth="1"/>
    <col min="15603" max="15606" width="12.7109375" style="25" customWidth="1"/>
    <col min="15607" max="15610" width="15.7109375" style="25" customWidth="1"/>
    <col min="15611" max="15611" width="22.85546875" style="25" customWidth="1"/>
    <col min="15612" max="15612" width="20.7109375" style="25" customWidth="1"/>
    <col min="15613" max="15613" width="16.7109375" style="25" customWidth="1"/>
    <col min="15614" max="15853" width="10.7109375" style="25"/>
    <col min="15854" max="15858" width="15.7109375" style="25" customWidth="1"/>
    <col min="15859" max="15862" width="12.7109375" style="25" customWidth="1"/>
    <col min="15863" max="15866" width="15.7109375" style="25" customWidth="1"/>
    <col min="15867" max="15867" width="22.85546875" style="25" customWidth="1"/>
    <col min="15868" max="15868" width="20.7109375" style="25" customWidth="1"/>
    <col min="15869" max="15869" width="16.7109375" style="25" customWidth="1"/>
    <col min="15870" max="16109" width="10.7109375" style="25"/>
    <col min="16110" max="16114" width="15.7109375" style="25" customWidth="1"/>
    <col min="16115" max="16118" width="12.7109375" style="25" customWidth="1"/>
    <col min="16119" max="16122" width="15.7109375" style="25" customWidth="1"/>
    <col min="16123" max="16123" width="22.85546875" style="25" customWidth="1"/>
    <col min="16124" max="16124" width="20.7109375" style="25" customWidth="1"/>
    <col min="16125" max="16125" width="16.7109375" style="25" customWidth="1"/>
    <col min="16126" max="16384" width="10.7109375" style="25"/>
  </cols>
  <sheetData>
    <row r="1" spans="1:20" ht="3" customHeight="1" x14ac:dyDescent="0.25"/>
    <row r="2" spans="1:20" ht="15" customHeight="1" x14ac:dyDescent="0.25">
      <c r="T2" s="20" t="s">
        <v>66</v>
      </c>
    </row>
    <row r="3" spans="1:20" s="13" customFormat="1" ht="18.75" customHeight="1" x14ac:dyDescent="0.3">
      <c r="T3" s="11" t="s">
        <v>8</v>
      </c>
    </row>
    <row r="4" spans="1:20" s="13" customFormat="1" ht="18.75" customHeight="1" x14ac:dyDescent="0.3">
      <c r="T4" s="11" t="s">
        <v>65</v>
      </c>
    </row>
    <row r="5" spans="1:20" s="13" customFormat="1" ht="18.75" customHeight="1" x14ac:dyDescent="0.3">
      <c r="T5" s="11"/>
    </row>
    <row r="6" spans="1:20" s="13" customFormat="1" x14ac:dyDescent="0.2">
      <c r="A6" s="331" t="str">
        <f>'1. паспорт местоположение'!A5:C5</f>
        <v>Год раскрытия информации: 2024 год</v>
      </c>
      <c r="B6" s="331"/>
      <c r="C6" s="331"/>
      <c r="D6" s="331"/>
      <c r="E6" s="331"/>
      <c r="F6" s="331"/>
      <c r="G6" s="331"/>
      <c r="H6" s="331"/>
      <c r="I6" s="331"/>
      <c r="J6" s="331"/>
      <c r="K6" s="331"/>
      <c r="L6" s="331"/>
      <c r="M6" s="331"/>
      <c r="N6" s="331"/>
      <c r="O6" s="331"/>
      <c r="P6" s="331"/>
      <c r="Q6" s="331"/>
      <c r="R6" s="331"/>
      <c r="S6" s="331"/>
      <c r="T6" s="331"/>
    </row>
    <row r="7" spans="1:20" s="13" customFormat="1" x14ac:dyDescent="0.2">
      <c r="A7" s="102"/>
    </row>
    <row r="8" spans="1:20" s="13"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13"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13" customFormat="1" ht="18.75" customHeight="1" x14ac:dyDescent="0.2">
      <c r="A10" s="338" t="str">
        <f>'1. паспорт местоположение'!A9:C9</f>
        <v xml:space="preserve">Акционерное общество "Западная энергетическая компания" </v>
      </c>
      <c r="B10" s="338"/>
      <c r="C10" s="338"/>
      <c r="D10" s="338"/>
      <c r="E10" s="338"/>
      <c r="F10" s="338"/>
      <c r="G10" s="338"/>
      <c r="H10" s="338"/>
      <c r="I10" s="338"/>
      <c r="J10" s="338"/>
      <c r="K10" s="338"/>
      <c r="L10" s="338"/>
      <c r="M10" s="338"/>
      <c r="N10" s="338"/>
      <c r="O10" s="338"/>
      <c r="P10" s="338"/>
      <c r="Q10" s="338"/>
      <c r="R10" s="338"/>
      <c r="S10" s="338"/>
      <c r="T10" s="338"/>
    </row>
    <row r="11" spans="1:20" s="13" customFormat="1" ht="18.75" customHeight="1" x14ac:dyDescent="0.2">
      <c r="A11" s="344" t="s">
        <v>6</v>
      </c>
      <c r="B11" s="344"/>
      <c r="C11" s="344"/>
      <c r="D11" s="344"/>
      <c r="E11" s="344"/>
      <c r="F11" s="344"/>
      <c r="G11" s="344"/>
      <c r="H11" s="344"/>
      <c r="I11" s="344"/>
      <c r="J11" s="344"/>
      <c r="K11" s="344"/>
      <c r="L11" s="344"/>
      <c r="M11" s="344"/>
      <c r="N11" s="344"/>
      <c r="O11" s="344"/>
      <c r="P11" s="344"/>
      <c r="Q11" s="344"/>
      <c r="R11" s="344"/>
      <c r="S11" s="344"/>
      <c r="T11" s="344"/>
    </row>
    <row r="12" spans="1:20" s="13"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13" customFormat="1" ht="18.75" customHeight="1" x14ac:dyDescent="0.2">
      <c r="A13" s="338" t="str">
        <f>'1. паспорт местоположение'!A12:C12</f>
        <v>O 24-35</v>
      </c>
      <c r="B13" s="338"/>
      <c r="C13" s="338"/>
      <c r="D13" s="338"/>
      <c r="E13" s="338"/>
      <c r="F13" s="338"/>
      <c r="G13" s="338"/>
      <c r="H13" s="338"/>
      <c r="I13" s="338"/>
      <c r="J13" s="338"/>
      <c r="K13" s="338"/>
      <c r="L13" s="338"/>
      <c r="M13" s="338"/>
      <c r="N13" s="338"/>
      <c r="O13" s="338"/>
      <c r="P13" s="338"/>
      <c r="Q13" s="338"/>
      <c r="R13" s="338"/>
      <c r="S13" s="338"/>
      <c r="T13" s="338"/>
    </row>
    <row r="14" spans="1:20" s="13" customFormat="1" ht="18.75" customHeight="1" x14ac:dyDescent="0.2">
      <c r="A14" s="344" t="s">
        <v>5</v>
      </c>
      <c r="B14" s="344"/>
      <c r="C14" s="344"/>
      <c r="D14" s="344"/>
      <c r="E14" s="344"/>
      <c r="F14" s="344"/>
      <c r="G14" s="344"/>
      <c r="H14" s="344"/>
      <c r="I14" s="344"/>
      <c r="J14" s="344"/>
      <c r="K14" s="344"/>
      <c r="L14" s="344"/>
      <c r="M14" s="344"/>
      <c r="N14" s="344"/>
      <c r="O14" s="344"/>
      <c r="P14" s="344"/>
      <c r="Q14" s="344"/>
      <c r="R14" s="344"/>
      <c r="S14" s="344"/>
      <c r="T14" s="344"/>
    </row>
    <row r="15" spans="1:20" s="13" customFormat="1" ht="15.75" customHeight="1" x14ac:dyDescent="0.2">
      <c r="A15" s="345"/>
      <c r="B15" s="345"/>
      <c r="C15" s="345"/>
      <c r="D15" s="345"/>
      <c r="E15" s="345"/>
      <c r="F15" s="345"/>
      <c r="G15" s="345"/>
      <c r="H15" s="345"/>
      <c r="I15" s="345"/>
      <c r="J15" s="345"/>
      <c r="K15" s="345"/>
      <c r="L15" s="345"/>
      <c r="M15" s="345"/>
      <c r="N15" s="345"/>
      <c r="O15" s="345"/>
      <c r="P15" s="345"/>
      <c r="Q15" s="345"/>
      <c r="R15" s="345"/>
      <c r="S15" s="345"/>
      <c r="T15" s="345"/>
    </row>
    <row r="16" spans="1:20" s="103" customFormat="1" x14ac:dyDescent="0.2">
      <c r="A16" s="338" t="str">
        <f>'1. паспорт местоположение'!A15:C15</f>
        <v>Покупка объектов основных средств электросетевого хозяйства</v>
      </c>
      <c r="B16" s="338"/>
      <c r="C16" s="338"/>
      <c r="D16" s="338"/>
      <c r="E16" s="338"/>
      <c r="F16" s="338"/>
      <c r="G16" s="338"/>
      <c r="H16" s="338"/>
      <c r="I16" s="338"/>
      <c r="J16" s="338"/>
      <c r="K16" s="338"/>
      <c r="L16" s="338"/>
      <c r="M16" s="338"/>
      <c r="N16" s="338"/>
      <c r="O16" s="338"/>
      <c r="P16" s="338"/>
      <c r="Q16" s="338"/>
      <c r="R16" s="338"/>
      <c r="S16" s="338"/>
      <c r="T16" s="338"/>
    </row>
    <row r="17" spans="1:20" s="103" customFormat="1" ht="15" customHeight="1" x14ac:dyDescent="0.2">
      <c r="A17" s="344" t="s">
        <v>4</v>
      </c>
      <c r="B17" s="344"/>
      <c r="C17" s="344"/>
      <c r="D17" s="344"/>
      <c r="E17" s="344"/>
      <c r="F17" s="344"/>
      <c r="G17" s="344"/>
      <c r="H17" s="344"/>
      <c r="I17" s="344"/>
      <c r="J17" s="344"/>
      <c r="K17" s="344"/>
      <c r="L17" s="344"/>
      <c r="M17" s="344"/>
      <c r="N17" s="344"/>
      <c r="O17" s="344"/>
      <c r="P17" s="344"/>
      <c r="Q17" s="344"/>
      <c r="R17" s="344"/>
      <c r="S17" s="344"/>
      <c r="T17" s="344"/>
    </row>
    <row r="18" spans="1:20" s="10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345"/>
    </row>
    <row r="19" spans="1:20" s="103" customFormat="1" ht="15" customHeight="1" x14ac:dyDescent="0.2">
      <c r="A19" s="362" t="s">
        <v>387</v>
      </c>
      <c r="B19" s="362"/>
      <c r="C19" s="362"/>
      <c r="D19" s="362"/>
      <c r="E19" s="362"/>
      <c r="F19" s="362"/>
      <c r="G19" s="362"/>
      <c r="H19" s="362"/>
      <c r="I19" s="362"/>
      <c r="J19" s="362"/>
      <c r="K19" s="362"/>
      <c r="L19" s="362"/>
      <c r="M19" s="362"/>
      <c r="N19" s="362"/>
      <c r="O19" s="362"/>
      <c r="P19" s="362"/>
      <c r="Q19" s="362"/>
      <c r="R19" s="362"/>
      <c r="S19" s="362"/>
      <c r="T19" s="362"/>
    </row>
    <row r="20" spans="1:20" s="26" customFormat="1" ht="21" customHeight="1" x14ac:dyDescent="0.25">
      <c r="A20" s="363"/>
      <c r="B20" s="363"/>
      <c r="C20" s="363"/>
      <c r="D20" s="363"/>
      <c r="E20" s="363"/>
      <c r="F20" s="363"/>
      <c r="G20" s="363"/>
      <c r="H20" s="363"/>
      <c r="I20" s="363"/>
      <c r="J20" s="363"/>
      <c r="K20" s="363"/>
      <c r="L20" s="363"/>
      <c r="M20" s="363"/>
      <c r="N20" s="363"/>
      <c r="O20" s="363"/>
      <c r="P20" s="363"/>
      <c r="Q20" s="363"/>
      <c r="R20" s="363"/>
      <c r="S20" s="363"/>
      <c r="T20" s="363"/>
    </row>
    <row r="21" spans="1:20" ht="46.5" customHeight="1" x14ac:dyDescent="0.25">
      <c r="A21" s="356" t="s">
        <v>3</v>
      </c>
      <c r="B21" s="349" t="s">
        <v>200</v>
      </c>
      <c r="C21" s="350"/>
      <c r="D21" s="353" t="s">
        <v>116</v>
      </c>
      <c r="E21" s="349" t="s">
        <v>415</v>
      </c>
      <c r="F21" s="350"/>
      <c r="G21" s="349" t="s">
        <v>239</v>
      </c>
      <c r="H21" s="350"/>
      <c r="I21" s="349" t="s">
        <v>115</v>
      </c>
      <c r="J21" s="350"/>
      <c r="K21" s="353" t="s">
        <v>114</v>
      </c>
      <c r="L21" s="349" t="s">
        <v>113</v>
      </c>
      <c r="M21" s="350"/>
      <c r="N21" s="349" t="s">
        <v>443</v>
      </c>
      <c r="O21" s="350"/>
      <c r="P21" s="353" t="s">
        <v>112</v>
      </c>
      <c r="Q21" s="359" t="s">
        <v>111</v>
      </c>
      <c r="R21" s="360"/>
      <c r="S21" s="359" t="s">
        <v>110</v>
      </c>
      <c r="T21" s="361"/>
    </row>
    <row r="22" spans="1:20" ht="204.75" customHeight="1" x14ac:dyDescent="0.25">
      <c r="A22" s="357"/>
      <c r="B22" s="351"/>
      <c r="C22" s="352"/>
      <c r="D22" s="355"/>
      <c r="E22" s="351"/>
      <c r="F22" s="352"/>
      <c r="G22" s="351"/>
      <c r="H22" s="352"/>
      <c r="I22" s="351"/>
      <c r="J22" s="352"/>
      <c r="K22" s="354"/>
      <c r="L22" s="351"/>
      <c r="M22" s="352"/>
      <c r="N22" s="351"/>
      <c r="O22" s="352"/>
      <c r="P22" s="354"/>
      <c r="Q22" s="53" t="s">
        <v>109</v>
      </c>
      <c r="R22" s="53" t="s">
        <v>386</v>
      </c>
      <c r="S22" s="53" t="s">
        <v>108</v>
      </c>
      <c r="T22" s="53" t="s">
        <v>107</v>
      </c>
    </row>
    <row r="23" spans="1:20" ht="51.75" customHeight="1" x14ac:dyDescent="0.25">
      <c r="A23" s="358"/>
      <c r="B23" s="53" t="s">
        <v>105</v>
      </c>
      <c r="C23" s="53" t="s">
        <v>106</v>
      </c>
      <c r="D23" s="354"/>
      <c r="E23" s="53" t="s">
        <v>105</v>
      </c>
      <c r="F23" s="53" t="s">
        <v>106</v>
      </c>
      <c r="G23" s="53" t="s">
        <v>105</v>
      </c>
      <c r="H23" s="53" t="s">
        <v>106</v>
      </c>
      <c r="I23" s="53" t="s">
        <v>105</v>
      </c>
      <c r="J23" s="53" t="s">
        <v>106</v>
      </c>
      <c r="K23" s="53" t="s">
        <v>105</v>
      </c>
      <c r="L23" s="53" t="s">
        <v>105</v>
      </c>
      <c r="M23" s="53" t="s">
        <v>106</v>
      </c>
      <c r="N23" s="53" t="s">
        <v>105</v>
      </c>
      <c r="O23" s="53" t="s">
        <v>106</v>
      </c>
      <c r="P23" s="100" t="s">
        <v>105</v>
      </c>
      <c r="Q23" s="53" t="s">
        <v>105</v>
      </c>
      <c r="R23" s="53" t="s">
        <v>105</v>
      </c>
      <c r="S23" s="53" t="s">
        <v>105</v>
      </c>
      <c r="T23" s="53" t="s">
        <v>105</v>
      </c>
    </row>
    <row r="24" spans="1:20" x14ac:dyDescent="0.25">
      <c r="A24" s="30">
        <v>1</v>
      </c>
      <c r="B24" s="30">
        <v>2</v>
      </c>
      <c r="C24" s="30">
        <v>3</v>
      </c>
      <c r="D24" s="30">
        <v>4</v>
      </c>
      <c r="E24" s="30">
        <v>5</v>
      </c>
      <c r="F24" s="30">
        <v>6</v>
      </c>
      <c r="G24" s="30">
        <v>7</v>
      </c>
      <c r="H24" s="30">
        <v>8</v>
      </c>
      <c r="I24" s="30">
        <v>9</v>
      </c>
      <c r="J24" s="30">
        <v>10</v>
      </c>
      <c r="K24" s="30">
        <v>11</v>
      </c>
      <c r="L24" s="30">
        <v>12</v>
      </c>
      <c r="M24" s="30">
        <v>13</v>
      </c>
      <c r="N24" s="30">
        <v>14</v>
      </c>
      <c r="O24" s="30">
        <v>15</v>
      </c>
      <c r="P24" s="30">
        <v>16</v>
      </c>
      <c r="Q24" s="30">
        <v>17</v>
      </c>
      <c r="R24" s="30">
        <v>18</v>
      </c>
      <c r="S24" s="30">
        <v>19</v>
      </c>
      <c r="T24" s="30">
        <v>20</v>
      </c>
    </row>
    <row r="25" spans="1:20" s="26" customFormat="1" ht="77.25" customHeight="1" x14ac:dyDescent="0.25">
      <c r="A25" s="301">
        <v>1</v>
      </c>
      <c r="B25" s="179" t="s">
        <v>297</v>
      </c>
      <c r="C25" s="301" t="s">
        <v>587</v>
      </c>
      <c r="D25" s="301" t="s">
        <v>588</v>
      </c>
      <c r="E25" s="179" t="s">
        <v>297</v>
      </c>
      <c r="F25" s="301" t="s">
        <v>589</v>
      </c>
      <c r="G25" s="179" t="s">
        <v>297</v>
      </c>
      <c r="H25" s="301" t="s">
        <v>558</v>
      </c>
      <c r="I25" s="179" t="s">
        <v>297</v>
      </c>
      <c r="J25" s="179" t="s">
        <v>297</v>
      </c>
      <c r="K25" s="301">
        <v>2024</v>
      </c>
      <c r="L25" s="90" t="s">
        <v>297</v>
      </c>
      <c r="M25" s="301">
        <v>10</v>
      </c>
      <c r="N25" s="90" t="s">
        <v>297</v>
      </c>
      <c r="O25" s="301">
        <v>2</v>
      </c>
      <c r="P25" s="90" t="s">
        <v>297</v>
      </c>
      <c r="Q25" s="90" t="s">
        <v>297</v>
      </c>
      <c r="R25" s="90" t="s">
        <v>297</v>
      </c>
      <c r="S25" s="90" t="s">
        <v>297</v>
      </c>
      <c r="T25" s="90" t="s">
        <v>297</v>
      </c>
    </row>
    <row r="26" spans="1:20" s="26" customFormat="1" ht="75" customHeight="1" x14ac:dyDescent="0.25">
      <c r="A26" s="301">
        <v>2</v>
      </c>
      <c r="B26" s="179" t="s">
        <v>297</v>
      </c>
      <c r="C26" s="301" t="s">
        <v>590</v>
      </c>
      <c r="D26" s="301" t="s">
        <v>597</v>
      </c>
      <c r="E26" s="179" t="s">
        <v>297</v>
      </c>
      <c r="F26" s="301" t="s">
        <v>591</v>
      </c>
      <c r="G26" s="179" t="s">
        <v>297</v>
      </c>
      <c r="H26" s="301" t="s">
        <v>558</v>
      </c>
      <c r="I26" s="179" t="s">
        <v>297</v>
      </c>
      <c r="J26" s="179" t="s">
        <v>297</v>
      </c>
      <c r="K26" s="301">
        <v>2024</v>
      </c>
      <c r="L26" s="90" t="s">
        <v>297</v>
      </c>
      <c r="M26" s="301">
        <v>10</v>
      </c>
      <c r="N26" s="90" t="s">
        <v>297</v>
      </c>
      <c r="O26" s="301">
        <v>0.8</v>
      </c>
      <c r="P26" s="90" t="s">
        <v>297</v>
      </c>
      <c r="Q26" s="90" t="s">
        <v>297</v>
      </c>
      <c r="R26" s="90" t="s">
        <v>297</v>
      </c>
      <c r="S26" s="90" t="s">
        <v>297</v>
      </c>
      <c r="T26" s="90" t="s">
        <v>297</v>
      </c>
    </row>
    <row r="27" spans="1:20" s="26" customFormat="1" ht="54.75" customHeight="1" x14ac:dyDescent="0.25">
      <c r="A27" s="301">
        <v>3</v>
      </c>
      <c r="B27" s="303" t="s">
        <v>297</v>
      </c>
      <c r="C27" s="301" t="s">
        <v>592</v>
      </c>
      <c r="D27" s="301" t="s">
        <v>596</v>
      </c>
      <c r="E27" s="303" t="s">
        <v>297</v>
      </c>
      <c r="F27" s="301" t="s">
        <v>579</v>
      </c>
      <c r="G27" s="179" t="s">
        <v>297</v>
      </c>
      <c r="H27" s="301" t="s">
        <v>593</v>
      </c>
      <c r="I27" s="303" t="s">
        <v>297</v>
      </c>
      <c r="J27" s="303" t="s">
        <v>297</v>
      </c>
      <c r="K27" s="301">
        <v>2024</v>
      </c>
      <c r="L27" s="90" t="s">
        <v>297</v>
      </c>
      <c r="M27" s="301">
        <v>15</v>
      </c>
      <c r="N27" s="90" t="s">
        <v>297</v>
      </c>
      <c r="O27" s="301">
        <v>0.25</v>
      </c>
      <c r="P27" s="90" t="s">
        <v>297</v>
      </c>
      <c r="Q27" s="90" t="s">
        <v>297</v>
      </c>
      <c r="R27" s="90" t="s">
        <v>297</v>
      </c>
      <c r="S27" s="90" t="s">
        <v>297</v>
      </c>
      <c r="T27" s="90" t="s">
        <v>297</v>
      </c>
    </row>
    <row r="28" spans="1:20" s="26" customFormat="1" ht="66.75" customHeight="1" x14ac:dyDescent="0.25">
      <c r="A28" s="301">
        <v>4</v>
      </c>
      <c r="B28" s="303" t="s">
        <v>297</v>
      </c>
      <c r="C28" s="301" t="s">
        <v>594</v>
      </c>
      <c r="D28" s="301" t="s">
        <v>595</v>
      </c>
      <c r="E28" s="303" t="s">
        <v>297</v>
      </c>
      <c r="F28" s="301" t="s">
        <v>579</v>
      </c>
      <c r="G28" s="179" t="s">
        <v>297</v>
      </c>
      <c r="H28" s="301" t="s">
        <v>593</v>
      </c>
      <c r="I28" s="301" t="s">
        <v>297</v>
      </c>
      <c r="J28" s="302" t="s">
        <v>297</v>
      </c>
      <c r="K28" s="301">
        <v>2024</v>
      </c>
      <c r="L28" s="301" t="s">
        <v>297</v>
      </c>
      <c r="M28" s="301">
        <v>15</v>
      </c>
      <c r="N28" s="301"/>
      <c r="O28" s="301">
        <v>0.4</v>
      </c>
      <c r="P28" s="90" t="s">
        <v>297</v>
      </c>
      <c r="Q28" s="90" t="s">
        <v>297</v>
      </c>
      <c r="R28" s="90" t="s">
        <v>297</v>
      </c>
      <c r="S28" s="90" t="s">
        <v>297</v>
      </c>
      <c r="T28" s="90" t="s">
        <v>297</v>
      </c>
    </row>
    <row r="29" spans="1:20" s="26" customFormat="1" x14ac:dyDescent="0.25">
      <c r="A29" s="180"/>
      <c r="B29" s="180"/>
      <c r="C29" s="180"/>
      <c r="D29" s="180"/>
      <c r="E29" s="180"/>
      <c r="F29" s="180"/>
      <c r="G29" s="180"/>
      <c r="H29" s="180"/>
      <c r="I29" s="180"/>
      <c r="J29" s="182"/>
      <c r="K29" s="180"/>
      <c r="L29" s="180"/>
      <c r="M29" s="180"/>
      <c r="N29" s="180"/>
      <c r="O29" s="180">
        <f>SUM(O25:O28)</f>
        <v>3.4499999999999997</v>
      </c>
      <c r="P29" s="180"/>
      <c r="Q29" s="180"/>
      <c r="R29" s="180"/>
      <c r="S29" s="180"/>
      <c r="T29" s="180"/>
    </row>
    <row r="30" spans="1:20" s="26" customFormat="1" x14ac:dyDescent="0.25">
      <c r="A30" s="180"/>
      <c r="B30" s="180"/>
      <c r="C30" s="180"/>
      <c r="D30" s="180"/>
      <c r="E30" s="180"/>
      <c r="F30" s="180"/>
      <c r="G30" s="180"/>
      <c r="H30" s="180"/>
      <c r="I30" s="180"/>
      <c r="J30" s="182"/>
      <c r="K30" s="180"/>
      <c r="L30" s="180"/>
      <c r="M30" s="180"/>
      <c r="N30" s="180"/>
      <c r="O30" s="180"/>
      <c r="P30" s="180"/>
      <c r="Q30" s="180"/>
      <c r="R30" s="180"/>
      <c r="S30" s="180"/>
      <c r="T30" s="180"/>
    </row>
    <row r="31" spans="1:20" s="26" customFormat="1" x14ac:dyDescent="0.25">
      <c r="A31" s="180"/>
      <c r="B31" s="180"/>
      <c r="C31" s="180"/>
      <c r="D31" s="180"/>
      <c r="E31" s="180"/>
      <c r="F31" s="180"/>
      <c r="G31" s="180"/>
      <c r="H31" s="180"/>
      <c r="I31" s="180"/>
      <c r="J31" s="182"/>
      <c r="K31" s="180"/>
      <c r="L31" s="180"/>
      <c r="M31" s="180"/>
      <c r="N31" s="180"/>
      <c r="O31" s="180"/>
      <c r="P31" s="180"/>
      <c r="Q31" s="180"/>
      <c r="R31" s="180"/>
      <c r="S31" s="180"/>
      <c r="T31" s="180"/>
    </row>
    <row r="32" spans="1:20" s="26" customFormat="1" x14ac:dyDescent="0.25">
      <c r="A32" s="180"/>
      <c r="B32" s="180"/>
      <c r="C32" s="180"/>
      <c r="D32" s="180"/>
      <c r="E32" s="180"/>
      <c r="F32" s="180"/>
      <c r="G32" s="180"/>
      <c r="H32" s="180"/>
      <c r="I32" s="180"/>
      <c r="J32" s="182"/>
      <c r="K32" s="180"/>
      <c r="L32" s="180"/>
      <c r="M32" s="180"/>
      <c r="N32" s="180"/>
      <c r="O32" s="180"/>
      <c r="P32" s="180"/>
      <c r="Q32" s="180"/>
      <c r="R32" s="180"/>
      <c r="S32" s="180"/>
      <c r="T32" s="180"/>
    </row>
    <row r="33" spans="1:20" s="26" customFormat="1" x14ac:dyDescent="0.25">
      <c r="A33" s="180"/>
      <c r="B33" s="180"/>
      <c r="C33" s="180"/>
      <c r="D33" s="180"/>
      <c r="E33" s="180"/>
      <c r="F33" s="180"/>
      <c r="G33" s="180"/>
      <c r="H33" s="180"/>
      <c r="I33" s="180"/>
      <c r="J33" s="182"/>
      <c r="K33" s="180"/>
      <c r="L33" s="180"/>
      <c r="M33" s="180"/>
      <c r="N33" s="180"/>
      <c r="O33" s="180"/>
      <c r="P33" s="180"/>
      <c r="Q33" s="180"/>
      <c r="R33" s="180"/>
      <c r="S33" s="180"/>
      <c r="T33" s="180"/>
    </row>
    <row r="34" spans="1:20" s="26" customFormat="1" x14ac:dyDescent="0.25">
      <c r="A34" s="180"/>
      <c r="B34" s="180"/>
      <c r="C34" s="180"/>
      <c r="D34" s="180"/>
      <c r="E34" s="180"/>
      <c r="F34" s="180"/>
      <c r="G34" s="180"/>
      <c r="H34" s="180"/>
      <c r="I34" s="180"/>
      <c r="J34" s="182"/>
      <c r="K34" s="180"/>
      <c r="L34" s="180"/>
      <c r="M34" s="180"/>
      <c r="N34" s="180"/>
      <c r="O34" s="180"/>
      <c r="P34" s="180"/>
      <c r="Q34" s="180"/>
      <c r="R34" s="180"/>
      <c r="S34" s="180"/>
      <c r="T34" s="180"/>
    </row>
    <row r="35" spans="1:20" s="26" customFormat="1" x14ac:dyDescent="0.25">
      <c r="A35" s="180"/>
      <c r="B35" s="180"/>
      <c r="C35" s="180"/>
      <c r="D35" s="180"/>
      <c r="E35" s="180"/>
      <c r="F35" s="180"/>
      <c r="G35" s="180"/>
      <c r="H35" s="180"/>
      <c r="I35" s="180"/>
      <c r="J35" s="182"/>
      <c r="K35" s="180"/>
      <c r="L35" s="180"/>
      <c r="M35" s="180"/>
      <c r="N35" s="180"/>
      <c r="O35" s="180"/>
      <c r="P35" s="180"/>
      <c r="Q35" s="180"/>
      <c r="R35" s="180"/>
      <c r="S35" s="180"/>
      <c r="T35" s="180"/>
    </row>
    <row r="36" spans="1:20" s="26" customFormat="1" x14ac:dyDescent="0.25">
      <c r="A36" s="180"/>
      <c r="B36" s="180"/>
      <c r="C36" s="180"/>
      <c r="D36" s="180"/>
      <c r="E36" s="180"/>
      <c r="F36" s="180"/>
      <c r="G36" s="180"/>
      <c r="H36" s="180"/>
      <c r="I36" s="180"/>
      <c r="J36" s="182"/>
      <c r="K36" s="180"/>
      <c r="L36" s="180"/>
      <c r="M36" s="180"/>
      <c r="N36" s="180"/>
      <c r="O36" s="180"/>
      <c r="P36" s="180"/>
      <c r="Q36" s="180"/>
      <c r="R36" s="180"/>
      <c r="S36" s="180"/>
      <c r="T36" s="180"/>
    </row>
    <row r="37" spans="1:20" s="26" customFormat="1" x14ac:dyDescent="0.25">
      <c r="A37" s="180"/>
      <c r="B37" s="180"/>
      <c r="C37" s="180"/>
      <c r="D37" s="180"/>
      <c r="E37" s="180"/>
      <c r="F37" s="180"/>
      <c r="G37" s="180"/>
      <c r="H37" s="180"/>
      <c r="I37" s="180"/>
      <c r="J37" s="182"/>
      <c r="K37" s="180"/>
      <c r="L37" s="180"/>
      <c r="M37" s="180"/>
      <c r="N37" s="180"/>
      <c r="O37" s="180"/>
      <c r="P37" s="180"/>
      <c r="Q37" s="180"/>
      <c r="R37" s="180"/>
      <c r="S37" s="180"/>
      <c r="T37" s="180"/>
    </row>
    <row r="38" spans="1:20" s="26" customFormat="1" x14ac:dyDescent="0.25">
      <c r="A38" s="180"/>
      <c r="B38" s="180"/>
      <c r="C38" s="180"/>
      <c r="D38" s="180"/>
      <c r="E38" s="180"/>
      <c r="F38" s="180"/>
      <c r="G38" s="180"/>
      <c r="H38" s="180"/>
      <c r="I38" s="180"/>
      <c r="J38" s="182"/>
      <c r="K38" s="180"/>
      <c r="L38" s="180"/>
      <c r="M38" s="180"/>
      <c r="N38" s="180"/>
      <c r="O38" s="180"/>
      <c r="P38" s="180"/>
      <c r="Q38" s="180"/>
      <c r="R38" s="180"/>
      <c r="S38" s="180"/>
      <c r="T38" s="180"/>
    </row>
    <row r="39" spans="1:20" s="26" customFormat="1" x14ac:dyDescent="0.25">
      <c r="A39" s="180"/>
      <c r="B39" s="180"/>
      <c r="C39" s="180"/>
      <c r="D39" s="180"/>
      <c r="E39" s="180"/>
      <c r="F39" s="180"/>
      <c r="G39" s="180"/>
      <c r="H39" s="180"/>
      <c r="I39" s="180"/>
      <c r="J39" s="182"/>
      <c r="K39" s="180"/>
      <c r="L39" s="180"/>
      <c r="M39" s="180"/>
      <c r="N39" s="180"/>
      <c r="O39" s="180"/>
      <c r="P39" s="180"/>
      <c r="Q39" s="180"/>
      <c r="R39" s="180"/>
      <c r="S39" s="180"/>
      <c r="T39" s="180"/>
    </row>
    <row r="40" spans="1:20" s="26" customFormat="1" x14ac:dyDescent="0.25">
      <c r="A40" s="180"/>
      <c r="B40" s="180"/>
      <c r="C40" s="180"/>
      <c r="D40" s="180"/>
      <c r="E40" s="180"/>
      <c r="F40" s="180"/>
      <c r="G40" s="180"/>
      <c r="H40" s="180"/>
      <c r="I40" s="180"/>
      <c r="J40" s="182"/>
      <c r="K40" s="180"/>
      <c r="L40" s="180"/>
      <c r="M40" s="180"/>
      <c r="N40" s="180"/>
      <c r="O40" s="180"/>
      <c r="P40" s="180"/>
      <c r="Q40" s="180"/>
      <c r="R40" s="180"/>
      <c r="S40" s="180"/>
      <c r="T40" s="180"/>
    </row>
    <row r="41" spans="1:20" s="26" customFormat="1" x14ac:dyDescent="0.25">
      <c r="A41" s="180"/>
      <c r="B41" s="180"/>
      <c r="C41" s="180"/>
      <c r="D41" s="180"/>
      <c r="E41" s="180"/>
      <c r="F41" s="180"/>
      <c r="G41" s="180"/>
      <c r="H41" s="180"/>
      <c r="I41" s="180"/>
      <c r="J41" s="182"/>
      <c r="K41" s="180"/>
      <c r="L41" s="180"/>
      <c r="M41" s="180"/>
      <c r="N41" s="180"/>
      <c r="O41" s="180"/>
      <c r="P41" s="180"/>
      <c r="Q41" s="180"/>
      <c r="R41" s="180"/>
      <c r="S41" s="180"/>
      <c r="T41" s="180"/>
    </row>
    <row r="42" spans="1:20" s="26" customFormat="1" x14ac:dyDescent="0.25">
      <c r="A42" s="180"/>
      <c r="B42" s="180"/>
      <c r="C42" s="180"/>
      <c r="D42" s="180"/>
      <c r="E42" s="180"/>
      <c r="F42" s="181"/>
      <c r="G42" s="181"/>
      <c r="H42" s="181"/>
      <c r="I42" s="181"/>
      <c r="J42" s="182"/>
      <c r="K42" s="180"/>
      <c r="L42" s="180"/>
      <c r="M42" s="180"/>
      <c r="N42" s="180"/>
      <c r="O42" s="180"/>
      <c r="P42" s="180"/>
      <c r="Q42" s="180"/>
      <c r="R42" s="180"/>
      <c r="S42" s="180"/>
      <c r="T42" s="180"/>
    </row>
    <row r="43" spans="1:20" s="26" customFormat="1" x14ac:dyDescent="0.25">
      <c r="A43" s="180"/>
      <c r="B43" s="180"/>
      <c r="C43" s="180"/>
      <c r="D43" s="180"/>
      <c r="E43" s="180"/>
      <c r="F43" s="181"/>
      <c r="G43" s="181"/>
      <c r="H43" s="181"/>
      <c r="I43" s="181"/>
      <c r="J43" s="182"/>
      <c r="K43" s="180"/>
      <c r="L43" s="180"/>
      <c r="M43" s="180"/>
      <c r="N43" s="180"/>
      <c r="O43" s="180"/>
      <c r="P43" s="180"/>
      <c r="Q43" s="180"/>
      <c r="R43" s="180"/>
      <c r="S43" s="180"/>
      <c r="T43" s="180"/>
    </row>
    <row r="44" spans="1:20" s="26" customFormat="1" x14ac:dyDescent="0.25">
      <c r="A44" s="180"/>
      <c r="B44" s="180"/>
      <c r="C44" s="180"/>
      <c r="D44" s="180"/>
      <c r="E44" s="180"/>
      <c r="F44" s="181"/>
      <c r="G44" s="181"/>
      <c r="H44" s="181"/>
      <c r="I44" s="181"/>
      <c r="J44" s="182"/>
      <c r="K44" s="180"/>
      <c r="L44" s="180"/>
      <c r="M44" s="180"/>
      <c r="N44" s="180"/>
      <c r="O44" s="180"/>
      <c r="P44" s="180"/>
      <c r="Q44" s="180"/>
      <c r="R44" s="180"/>
      <c r="S44" s="180"/>
      <c r="T44" s="180"/>
    </row>
    <row r="45" spans="1:20" s="26" customFormat="1" x14ac:dyDescent="0.25">
      <c r="A45" s="180"/>
      <c r="B45" s="180"/>
      <c r="C45" s="180"/>
      <c r="D45" s="180"/>
      <c r="E45" s="180"/>
      <c r="F45" s="181"/>
      <c r="G45" s="181"/>
      <c r="H45" s="181"/>
      <c r="I45" s="181"/>
      <c r="J45" s="182"/>
      <c r="K45" s="180"/>
      <c r="L45" s="180"/>
      <c r="M45" s="180"/>
      <c r="N45" s="180"/>
      <c r="O45" s="180"/>
      <c r="P45" s="180"/>
      <c r="Q45" s="180"/>
      <c r="R45" s="180"/>
      <c r="S45" s="180"/>
      <c r="T45" s="180"/>
    </row>
    <row r="46" spans="1:20" s="26" customFormat="1" x14ac:dyDescent="0.25">
      <c r="A46" s="180"/>
      <c r="B46" s="180"/>
      <c r="C46" s="180"/>
      <c r="D46" s="180"/>
      <c r="E46" s="180"/>
      <c r="F46" s="181"/>
      <c r="G46" s="181"/>
      <c r="H46" s="181"/>
      <c r="I46" s="181"/>
      <c r="J46" s="182"/>
      <c r="K46" s="180"/>
      <c r="L46" s="180"/>
      <c r="M46" s="180"/>
      <c r="N46" s="180"/>
      <c r="O46" s="180"/>
      <c r="P46" s="180"/>
      <c r="Q46" s="180"/>
      <c r="R46" s="180"/>
      <c r="S46" s="180"/>
      <c r="T46" s="180"/>
    </row>
    <row r="47" spans="1:20" s="26" customFormat="1" x14ac:dyDescent="0.25">
      <c r="A47" s="180"/>
      <c r="B47" s="180"/>
      <c r="C47" s="180"/>
      <c r="D47" s="180"/>
      <c r="E47" s="180"/>
      <c r="F47" s="181"/>
      <c r="G47" s="181"/>
      <c r="H47" s="181"/>
      <c r="I47" s="181"/>
      <c r="J47" s="182"/>
      <c r="K47" s="180"/>
      <c r="L47" s="180"/>
      <c r="M47" s="180"/>
      <c r="N47" s="180"/>
      <c r="O47" s="180"/>
      <c r="P47" s="180"/>
      <c r="Q47" s="180"/>
      <c r="R47" s="180"/>
      <c r="S47" s="180"/>
      <c r="T47" s="180"/>
    </row>
    <row r="48" spans="1:20" s="29" customFormat="1" ht="12.75" x14ac:dyDescent="0.2"/>
    <row r="49" spans="2:113" s="29" customFormat="1" x14ac:dyDescent="0.25">
      <c r="B49" s="25" t="s">
        <v>104</v>
      </c>
      <c r="C49" s="25"/>
      <c r="D49" s="25"/>
      <c r="E49" s="25"/>
      <c r="F49" s="25"/>
      <c r="G49" s="25"/>
      <c r="H49" s="25"/>
      <c r="I49" s="25"/>
      <c r="J49" s="25"/>
      <c r="K49" s="25"/>
      <c r="L49" s="25"/>
      <c r="M49" s="25"/>
      <c r="N49" s="25"/>
      <c r="O49" s="25"/>
      <c r="P49" s="25"/>
      <c r="Q49" s="25"/>
      <c r="R49" s="25"/>
    </row>
    <row r="50" spans="2:113" x14ac:dyDescent="0.25">
      <c r="B50" s="348" t="s">
        <v>421</v>
      </c>
      <c r="C50" s="348"/>
      <c r="D50" s="348"/>
      <c r="E50" s="348"/>
      <c r="F50" s="348"/>
      <c r="G50" s="348"/>
      <c r="H50" s="348"/>
      <c r="I50" s="348"/>
      <c r="J50" s="348"/>
      <c r="K50" s="348"/>
      <c r="L50" s="348"/>
      <c r="M50" s="348"/>
      <c r="N50" s="348"/>
      <c r="O50" s="348"/>
      <c r="P50" s="348"/>
      <c r="Q50" s="348"/>
      <c r="R50" s="348"/>
    </row>
    <row r="52" spans="2:113" x14ac:dyDescent="0.25">
      <c r="B52" s="27" t="s">
        <v>385</v>
      </c>
      <c r="C52" s="27"/>
      <c r="D52" s="27"/>
      <c r="E52" s="27"/>
      <c r="H52" s="27"/>
      <c r="I52" s="27"/>
      <c r="J52" s="27"/>
      <c r="K52" s="27"/>
      <c r="L52" s="27"/>
      <c r="M52" s="27"/>
      <c r="N52" s="27"/>
      <c r="O52" s="27"/>
      <c r="P52" s="27"/>
      <c r="Q52" s="27"/>
      <c r="R52" s="27"/>
      <c r="S52" s="28"/>
      <c r="T52" s="28"/>
      <c r="U52" s="28"/>
      <c r="V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8"/>
      <c r="BY52" s="28"/>
      <c r="BZ52" s="28"/>
      <c r="CA52" s="28"/>
      <c r="CB52" s="28"/>
      <c r="CC52" s="28"/>
      <c r="CD52" s="28"/>
      <c r="CE52" s="28"/>
      <c r="CF52" s="28"/>
      <c r="CG52" s="28"/>
      <c r="CH52" s="28"/>
      <c r="CI52" s="28"/>
      <c r="CJ52" s="28"/>
      <c r="CK52" s="28"/>
      <c r="CL52" s="28"/>
      <c r="CM52" s="28"/>
      <c r="CN52" s="28"/>
      <c r="CO52" s="28"/>
      <c r="CP52" s="28"/>
      <c r="CQ52" s="28"/>
      <c r="CR52" s="28"/>
      <c r="CS52" s="28"/>
      <c r="CT52" s="28"/>
      <c r="CU52" s="28"/>
      <c r="CV52" s="28"/>
      <c r="CW52" s="28"/>
      <c r="CX52" s="28"/>
      <c r="CY52" s="28"/>
      <c r="CZ52" s="28"/>
      <c r="DA52" s="28"/>
      <c r="DB52" s="28"/>
      <c r="DC52" s="28"/>
      <c r="DD52" s="28"/>
      <c r="DE52" s="28"/>
      <c r="DF52" s="28"/>
      <c r="DG52" s="28"/>
      <c r="DH52" s="28"/>
      <c r="DI52" s="28"/>
    </row>
    <row r="53" spans="2:113" x14ac:dyDescent="0.25">
      <c r="B53" s="27" t="s">
        <v>103</v>
      </c>
      <c r="C53" s="27"/>
      <c r="D53" s="27"/>
      <c r="E53" s="27"/>
      <c r="H53" s="27"/>
      <c r="I53" s="27"/>
      <c r="J53" s="27"/>
      <c r="K53" s="27"/>
      <c r="L53" s="27"/>
      <c r="M53" s="27"/>
      <c r="N53" s="27"/>
      <c r="O53" s="27"/>
      <c r="P53" s="27"/>
      <c r="Q53" s="27"/>
      <c r="R53" s="27"/>
    </row>
    <row r="54" spans="2:113" x14ac:dyDescent="0.25">
      <c r="B54" s="27" t="s">
        <v>102</v>
      </c>
      <c r="C54" s="27"/>
      <c r="D54" s="27"/>
      <c r="E54" s="27"/>
      <c r="H54" s="27"/>
      <c r="I54" s="27"/>
      <c r="J54" s="27"/>
      <c r="K54" s="27"/>
      <c r="L54" s="27"/>
      <c r="M54" s="27"/>
      <c r="N54" s="27"/>
      <c r="O54" s="27"/>
      <c r="P54" s="27"/>
      <c r="Q54" s="27"/>
      <c r="R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6"/>
      <c r="BL54" s="26"/>
      <c r="BM54" s="26"/>
      <c r="BN54" s="26"/>
      <c r="BO54" s="26"/>
      <c r="BP54" s="26"/>
      <c r="BQ54" s="26"/>
      <c r="BR54" s="26"/>
      <c r="BS54" s="26"/>
      <c r="BT54" s="26"/>
      <c r="BU54" s="26"/>
      <c r="BV54" s="26"/>
      <c r="BW54" s="26"/>
      <c r="BX54" s="26"/>
      <c r="BY54" s="26"/>
      <c r="BZ54" s="26"/>
      <c r="CA54" s="26"/>
      <c r="CB54" s="26"/>
      <c r="CC54" s="26"/>
      <c r="CD54" s="26"/>
      <c r="CE54" s="26"/>
      <c r="CF54" s="26"/>
      <c r="CG54" s="26"/>
      <c r="CH54" s="26"/>
      <c r="CI54" s="26"/>
      <c r="CJ54" s="26"/>
      <c r="CK54" s="26"/>
      <c r="CL54" s="26"/>
      <c r="CM54" s="26"/>
      <c r="CN54" s="26"/>
      <c r="CO54" s="26"/>
      <c r="CP54" s="26"/>
      <c r="CQ54" s="26"/>
      <c r="CR54" s="26"/>
      <c r="CS54" s="26"/>
      <c r="CT54" s="26"/>
      <c r="CU54" s="26"/>
      <c r="CV54" s="26"/>
      <c r="CW54" s="26"/>
      <c r="CX54" s="26"/>
      <c r="CY54" s="26"/>
      <c r="CZ54" s="26"/>
      <c r="DA54" s="26"/>
      <c r="DB54" s="26"/>
      <c r="DC54" s="26"/>
      <c r="DD54" s="26"/>
      <c r="DE54" s="26"/>
      <c r="DF54" s="26"/>
      <c r="DG54" s="26"/>
      <c r="DH54" s="26"/>
      <c r="DI54" s="26"/>
    </row>
    <row r="55" spans="2:113" x14ac:dyDescent="0.25">
      <c r="B55" s="27" t="s">
        <v>101</v>
      </c>
      <c r="C55" s="27"/>
      <c r="D55" s="27"/>
      <c r="E55" s="27"/>
      <c r="H55" s="27"/>
      <c r="I55" s="27"/>
      <c r="J55" s="27"/>
      <c r="K55" s="27"/>
      <c r="L55" s="27"/>
      <c r="M55" s="27"/>
      <c r="N55" s="27"/>
      <c r="O55" s="27"/>
      <c r="P55" s="27"/>
      <c r="Q55" s="27"/>
      <c r="R55" s="27"/>
      <c r="S55" s="27"/>
      <c r="T55" s="27"/>
      <c r="U55" s="27"/>
      <c r="V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6"/>
      <c r="BL55" s="26"/>
      <c r="BM55" s="26"/>
      <c r="BN55" s="26"/>
      <c r="BO55" s="26"/>
      <c r="BP55" s="26"/>
      <c r="BQ55" s="26"/>
      <c r="BR55" s="26"/>
      <c r="BS55" s="26"/>
      <c r="BT55" s="26"/>
      <c r="BU55" s="26"/>
      <c r="BV55" s="26"/>
      <c r="BW55" s="26"/>
      <c r="BX55" s="26"/>
      <c r="BY55" s="26"/>
      <c r="BZ55" s="26"/>
      <c r="CA55" s="26"/>
      <c r="CB55" s="26"/>
      <c r="CC55" s="26"/>
      <c r="CD55" s="26"/>
      <c r="CE55" s="26"/>
      <c r="CF55" s="26"/>
      <c r="CG55" s="26"/>
      <c r="CH55" s="26"/>
      <c r="CI55" s="26"/>
      <c r="CJ55" s="26"/>
      <c r="CK55" s="26"/>
      <c r="CL55" s="26"/>
      <c r="CM55" s="26"/>
      <c r="CN55" s="26"/>
      <c r="CO55" s="26"/>
      <c r="CP55" s="26"/>
      <c r="CQ55" s="26"/>
      <c r="CR55" s="26"/>
      <c r="CS55" s="26"/>
      <c r="CT55" s="26"/>
      <c r="CU55" s="26"/>
      <c r="CV55" s="26"/>
      <c r="CW55" s="26"/>
      <c r="CX55" s="26"/>
      <c r="CY55" s="26"/>
      <c r="CZ55" s="26"/>
      <c r="DA55" s="26"/>
      <c r="DB55" s="26"/>
      <c r="DC55" s="26"/>
      <c r="DD55" s="26"/>
      <c r="DE55" s="26"/>
      <c r="DF55" s="26"/>
      <c r="DG55" s="26"/>
      <c r="DH55" s="26"/>
      <c r="DI55" s="26"/>
    </row>
    <row r="56" spans="2:113" x14ac:dyDescent="0.25">
      <c r="B56" s="27" t="s">
        <v>100</v>
      </c>
      <c r="C56" s="27"/>
      <c r="D56" s="27"/>
      <c r="E56" s="27"/>
      <c r="H56" s="27"/>
      <c r="I56" s="27"/>
      <c r="J56" s="27"/>
      <c r="K56" s="27"/>
      <c r="L56" s="27"/>
      <c r="M56" s="27"/>
      <c r="N56" s="27"/>
      <c r="O56" s="27"/>
      <c r="P56" s="27"/>
      <c r="Q56" s="27"/>
      <c r="R56" s="27"/>
      <c r="S56" s="27"/>
      <c r="T56" s="27"/>
      <c r="U56" s="27"/>
      <c r="V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6"/>
      <c r="BL56" s="26"/>
      <c r="BM56" s="26"/>
      <c r="BN56" s="26"/>
      <c r="BO56" s="26"/>
      <c r="BP56" s="26"/>
      <c r="BQ56" s="26"/>
      <c r="BR56" s="26"/>
      <c r="BS56" s="26"/>
      <c r="BT56" s="26"/>
      <c r="BU56" s="26"/>
      <c r="BV56" s="26"/>
      <c r="BW56" s="26"/>
      <c r="BX56" s="26"/>
      <c r="BY56" s="26"/>
      <c r="BZ56" s="26"/>
      <c r="CA56" s="26"/>
      <c r="CB56" s="26"/>
      <c r="CC56" s="26"/>
      <c r="CD56" s="26"/>
      <c r="CE56" s="26"/>
      <c r="CF56" s="26"/>
      <c r="CG56" s="26"/>
      <c r="CH56" s="26"/>
      <c r="CI56" s="26"/>
      <c r="CJ56" s="26"/>
      <c r="CK56" s="26"/>
      <c r="CL56" s="26"/>
      <c r="CM56" s="26"/>
      <c r="CN56" s="26"/>
      <c r="CO56" s="26"/>
      <c r="CP56" s="26"/>
      <c r="CQ56" s="26"/>
      <c r="CR56" s="26"/>
      <c r="CS56" s="26"/>
      <c r="CT56" s="26"/>
      <c r="CU56" s="26"/>
      <c r="CV56" s="26"/>
      <c r="CW56" s="26"/>
      <c r="CX56" s="26"/>
      <c r="CY56" s="26"/>
      <c r="CZ56" s="26"/>
      <c r="DA56" s="26"/>
      <c r="DB56" s="26"/>
      <c r="DC56" s="26"/>
      <c r="DD56" s="26"/>
      <c r="DE56" s="26"/>
      <c r="DF56" s="26"/>
      <c r="DG56" s="26"/>
      <c r="DH56" s="26"/>
      <c r="DI56" s="26"/>
    </row>
    <row r="57" spans="2:113" x14ac:dyDescent="0.25">
      <c r="B57" s="27" t="s">
        <v>99</v>
      </c>
      <c r="C57" s="27"/>
      <c r="D57" s="27"/>
      <c r="E57" s="27"/>
      <c r="H57" s="27"/>
      <c r="I57" s="27"/>
      <c r="J57" s="27"/>
      <c r="K57" s="27"/>
      <c r="L57" s="27"/>
      <c r="M57" s="27"/>
      <c r="N57" s="27"/>
      <c r="O57" s="27"/>
      <c r="P57" s="27"/>
      <c r="Q57" s="27"/>
      <c r="R57" s="27"/>
      <c r="S57" s="27"/>
      <c r="T57" s="27"/>
      <c r="U57" s="27"/>
      <c r="V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6"/>
      <c r="BL57" s="26"/>
      <c r="BM57" s="26"/>
      <c r="BN57" s="26"/>
      <c r="BO57" s="26"/>
      <c r="BP57" s="26"/>
      <c r="BQ57" s="26"/>
      <c r="BR57" s="26"/>
      <c r="BS57" s="26"/>
      <c r="BT57" s="26"/>
      <c r="BU57" s="26"/>
      <c r="BV57" s="26"/>
      <c r="BW57" s="26"/>
      <c r="BX57" s="26"/>
      <c r="BY57" s="26"/>
      <c r="BZ57" s="26"/>
      <c r="CA57" s="26"/>
      <c r="CB57" s="26"/>
      <c r="CC57" s="26"/>
      <c r="CD57" s="26"/>
      <c r="CE57" s="26"/>
      <c r="CF57" s="26"/>
      <c r="CG57" s="26"/>
      <c r="CH57" s="26"/>
      <c r="CI57" s="26"/>
      <c r="CJ57" s="26"/>
      <c r="CK57" s="26"/>
      <c r="CL57" s="26"/>
      <c r="CM57" s="26"/>
      <c r="CN57" s="26"/>
      <c r="CO57" s="26"/>
      <c r="CP57" s="26"/>
      <c r="CQ57" s="26"/>
      <c r="CR57" s="26"/>
      <c r="CS57" s="26"/>
      <c r="CT57" s="26"/>
      <c r="CU57" s="26"/>
      <c r="CV57" s="26"/>
      <c r="CW57" s="26"/>
      <c r="CX57" s="26"/>
      <c r="CY57" s="26"/>
      <c r="CZ57" s="26"/>
      <c r="DA57" s="26"/>
      <c r="DB57" s="26"/>
      <c r="DC57" s="26"/>
      <c r="DD57" s="26"/>
      <c r="DE57" s="26"/>
      <c r="DF57" s="26"/>
      <c r="DG57" s="26"/>
      <c r="DH57" s="26"/>
      <c r="DI57" s="26"/>
    </row>
    <row r="58" spans="2:113" x14ac:dyDescent="0.25">
      <c r="B58" s="27" t="s">
        <v>98</v>
      </c>
      <c r="C58" s="27"/>
      <c r="D58" s="27"/>
      <c r="E58" s="27"/>
      <c r="H58" s="27"/>
      <c r="I58" s="27"/>
      <c r="J58" s="27"/>
      <c r="K58" s="27"/>
      <c r="L58" s="27"/>
      <c r="M58" s="27"/>
      <c r="N58" s="27"/>
      <c r="O58" s="27"/>
      <c r="P58" s="27"/>
      <c r="Q58" s="27"/>
      <c r="R58" s="27"/>
      <c r="S58" s="27"/>
      <c r="T58" s="27"/>
      <c r="U58" s="27"/>
      <c r="V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6"/>
      <c r="BL58" s="26"/>
      <c r="BM58" s="26"/>
      <c r="BN58" s="26"/>
      <c r="BO58" s="26"/>
      <c r="BP58" s="26"/>
      <c r="BQ58" s="26"/>
      <c r="BR58" s="26"/>
      <c r="BS58" s="26"/>
      <c r="BT58" s="26"/>
      <c r="BU58" s="26"/>
      <c r="BV58" s="26"/>
      <c r="BW58" s="26"/>
      <c r="BX58" s="26"/>
      <c r="BY58" s="26"/>
      <c r="BZ58" s="26"/>
      <c r="CA58" s="26"/>
      <c r="CB58" s="26"/>
      <c r="CC58" s="26"/>
      <c r="CD58" s="26"/>
      <c r="CE58" s="26"/>
      <c r="CF58" s="26"/>
      <c r="CG58" s="26"/>
      <c r="CH58" s="26"/>
      <c r="CI58" s="26"/>
      <c r="CJ58" s="26"/>
      <c r="CK58" s="26"/>
      <c r="CL58" s="26"/>
      <c r="CM58" s="26"/>
      <c r="CN58" s="26"/>
      <c r="CO58" s="26"/>
      <c r="CP58" s="26"/>
      <c r="CQ58" s="26"/>
      <c r="CR58" s="26"/>
      <c r="CS58" s="26"/>
      <c r="CT58" s="26"/>
      <c r="CU58" s="26"/>
      <c r="CV58" s="26"/>
      <c r="CW58" s="26"/>
      <c r="CX58" s="26"/>
      <c r="CY58" s="26"/>
      <c r="CZ58" s="26"/>
      <c r="DA58" s="26"/>
      <c r="DB58" s="26"/>
      <c r="DC58" s="26"/>
      <c r="DD58" s="26"/>
      <c r="DE58" s="26"/>
      <c r="DF58" s="26"/>
      <c r="DG58" s="26"/>
      <c r="DH58" s="26"/>
      <c r="DI58" s="26"/>
    </row>
    <row r="59" spans="2:113" x14ac:dyDescent="0.25">
      <c r="B59" s="27" t="s">
        <v>97</v>
      </c>
      <c r="C59" s="27"/>
      <c r="D59" s="27"/>
      <c r="E59" s="27"/>
      <c r="H59" s="27"/>
      <c r="I59" s="27"/>
      <c r="J59" s="27"/>
      <c r="K59" s="27"/>
      <c r="L59" s="27"/>
      <c r="M59" s="27"/>
      <c r="N59" s="27"/>
      <c r="O59" s="27"/>
      <c r="P59" s="27"/>
      <c r="Q59" s="27"/>
      <c r="R59" s="27"/>
      <c r="S59" s="27"/>
      <c r="T59" s="27"/>
      <c r="U59" s="27"/>
      <c r="V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row>
    <row r="60" spans="2:113" x14ac:dyDescent="0.25">
      <c r="B60" s="27" t="s">
        <v>96</v>
      </c>
      <c r="C60" s="27"/>
      <c r="D60" s="27"/>
      <c r="E60" s="27"/>
      <c r="H60" s="27"/>
      <c r="I60" s="27"/>
      <c r="J60" s="27"/>
      <c r="K60" s="27"/>
      <c r="L60" s="27"/>
      <c r="M60" s="27"/>
      <c r="N60" s="27"/>
      <c r="O60" s="27"/>
      <c r="P60" s="27"/>
      <c r="Q60" s="27"/>
      <c r="R60" s="27"/>
      <c r="S60" s="27"/>
      <c r="T60" s="27"/>
      <c r="U60" s="27"/>
      <c r="V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row>
    <row r="61" spans="2:113" x14ac:dyDescent="0.25">
      <c r="B61" s="27" t="s">
        <v>95</v>
      </c>
      <c r="C61" s="27"/>
      <c r="D61" s="27"/>
      <c r="E61" s="27"/>
      <c r="H61" s="27"/>
      <c r="I61" s="27"/>
      <c r="J61" s="27"/>
      <c r="K61" s="27"/>
      <c r="L61" s="27"/>
      <c r="M61" s="27"/>
      <c r="N61" s="27"/>
      <c r="O61" s="27"/>
      <c r="P61" s="27"/>
      <c r="Q61" s="27"/>
      <c r="R61" s="27"/>
      <c r="S61" s="27"/>
      <c r="T61" s="27"/>
      <c r="U61" s="27"/>
      <c r="V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row>
    <row r="62" spans="2:113" x14ac:dyDescent="0.25">
      <c r="Q62" s="27"/>
      <c r="R62" s="27"/>
      <c r="S62" s="27"/>
      <c r="T62" s="27"/>
      <c r="U62" s="27"/>
      <c r="V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row>
    <row r="63" spans="2:113" x14ac:dyDescent="0.25">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50:R50"/>
    <mergeCell ref="L21:M22"/>
    <mergeCell ref="N21:O22"/>
    <mergeCell ref="P21:P22"/>
    <mergeCell ref="D21:D23"/>
    <mergeCell ref="B21:C22"/>
  </mergeCells>
  <phoneticPr fontId="84" type="noConversion"/>
  <pageMargins left="0.78740157480314965" right="0.78740157480314965"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76"/>
  <sheetViews>
    <sheetView view="pageBreakPreview" zoomScale="73" zoomScaleSheetLayoutView="73" workbookViewId="0">
      <selection activeCell="R76" sqref="R76"/>
    </sheetView>
  </sheetViews>
  <sheetFormatPr defaultColWidth="10.7109375" defaultRowHeight="15.75" x14ac:dyDescent="0.25"/>
  <cols>
    <col min="1" max="2" width="10.7109375" style="25"/>
    <col min="3" max="3" width="69.7109375" style="25" customWidth="1"/>
    <col min="4" max="4" width="11.5703125" style="25" customWidth="1"/>
    <col min="5" max="5" width="52.7109375" style="25" customWidth="1"/>
    <col min="6" max="6" width="12.7109375" style="25" customWidth="1"/>
    <col min="7" max="7" width="12.85546875" style="25" customWidth="1"/>
    <col min="8" max="8" width="8.7109375" style="25" customWidth="1"/>
    <col min="9" max="9" width="12.85546875" style="25" customWidth="1"/>
    <col min="10" max="10" width="20.140625" style="25" customWidth="1"/>
    <col min="11" max="11" width="11.140625" style="25" customWidth="1"/>
    <col min="12" max="12" width="17.140625" style="25" customWidth="1"/>
    <col min="13" max="13" width="8.7109375" style="25" customWidth="1"/>
    <col min="14" max="14" width="26.5703125" style="25" customWidth="1"/>
    <col min="15" max="16" width="8.7109375" style="25" customWidth="1"/>
    <col min="17" max="17" width="11.85546875" style="25" customWidth="1"/>
    <col min="18" max="18" width="12" style="25" customWidth="1"/>
    <col min="19" max="19" width="18.28515625" style="25" customWidth="1"/>
    <col min="20" max="20" width="22.42578125" style="25" customWidth="1"/>
    <col min="21" max="21" width="26.7109375" style="25" customWidth="1"/>
    <col min="22" max="22" width="14.42578125" style="25" customWidth="1"/>
    <col min="23" max="23" width="20.7109375" style="25" customWidth="1"/>
    <col min="24" max="24" width="24.5703125" style="25" customWidth="1"/>
    <col min="25" max="25" width="15.28515625" style="25" customWidth="1"/>
    <col min="26" max="26" width="18.5703125" style="25" customWidth="1"/>
    <col min="27" max="27" width="19.140625" style="25" customWidth="1"/>
    <col min="28" max="240" width="10.7109375" style="25"/>
    <col min="241" max="242" width="15.7109375" style="25" customWidth="1"/>
    <col min="243" max="245" width="14.7109375" style="25" customWidth="1"/>
    <col min="246" max="249" width="13.7109375" style="25" customWidth="1"/>
    <col min="250" max="253" width="15.7109375" style="25" customWidth="1"/>
    <col min="254" max="254" width="22.85546875" style="25" customWidth="1"/>
    <col min="255" max="255" width="20.7109375" style="25" customWidth="1"/>
    <col min="256" max="256" width="17.7109375" style="25" customWidth="1"/>
    <col min="257" max="265" width="14.7109375" style="25" customWidth="1"/>
    <col min="266" max="496" width="10.7109375" style="25"/>
    <col min="497" max="498" width="15.7109375" style="25" customWidth="1"/>
    <col min="499" max="501" width="14.7109375" style="25" customWidth="1"/>
    <col min="502" max="505" width="13.7109375" style="25" customWidth="1"/>
    <col min="506" max="509" width="15.7109375" style="25" customWidth="1"/>
    <col min="510" max="510" width="22.85546875" style="25" customWidth="1"/>
    <col min="511" max="511" width="20.7109375" style="25" customWidth="1"/>
    <col min="512" max="512" width="17.7109375" style="25" customWidth="1"/>
    <col min="513" max="521" width="14.7109375" style="25" customWidth="1"/>
    <col min="522" max="752" width="10.7109375" style="25"/>
    <col min="753" max="754" width="15.7109375" style="25" customWidth="1"/>
    <col min="755" max="757" width="14.7109375" style="25" customWidth="1"/>
    <col min="758" max="761" width="13.7109375" style="25" customWidth="1"/>
    <col min="762" max="765" width="15.7109375" style="25" customWidth="1"/>
    <col min="766" max="766" width="22.85546875" style="25" customWidth="1"/>
    <col min="767" max="767" width="20.7109375" style="25" customWidth="1"/>
    <col min="768" max="768" width="17.7109375" style="25" customWidth="1"/>
    <col min="769" max="777" width="14.7109375" style="25" customWidth="1"/>
    <col min="778" max="1008" width="10.7109375" style="25"/>
    <col min="1009" max="1010" width="15.7109375" style="25" customWidth="1"/>
    <col min="1011" max="1013" width="14.7109375" style="25" customWidth="1"/>
    <col min="1014" max="1017" width="13.7109375" style="25" customWidth="1"/>
    <col min="1018" max="1021" width="15.7109375" style="25" customWidth="1"/>
    <col min="1022" max="1022" width="22.85546875" style="25" customWidth="1"/>
    <col min="1023" max="1023" width="20.7109375" style="25" customWidth="1"/>
    <col min="1024" max="1024" width="17.7109375" style="25" customWidth="1"/>
    <col min="1025" max="1033" width="14.7109375" style="25" customWidth="1"/>
    <col min="1034" max="1264" width="10.7109375" style="25"/>
    <col min="1265" max="1266" width="15.7109375" style="25" customWidth="1"/>
    <col min="1267" max="1269" width="14.7109375" style="25" customWidth="1"/>
    <col min="1270" max="1273" width="13.7109375" style="25" customWidth="1"/>
    <col min="1274" max="1277" width="15.7109375" style="25" customWidth="1"/>
    <col min="1278" max="1278" width="22.85546875" style="25" customWidth="1"/>
    <col min="1279" max="1279" width="20.7109375" style="25" customWidth="1"/>
    <col min="1280" max="1280" width="17.7109375" style="25" customWidth="1"/>
    <col min="1281" max="1289" width="14.7109375" style="25" customWidth="1"/>
    <col min="1290" max="1520" width="10.7109375" style="25"/>
    <col min="1521" max="1522" width="15.7109375" style="25" customWidth="1"/>
    <col min="1523" max="1525" width="14.7109375" style="25" customWidth="1"/>
    <col min="1526" max="1529" width="13.7109375" style="25" customWidth="1"/>
    <col min="1530" max="1533" width="15.7109375" style="25" customWidth="1"/>
    <col min="1534" max="1534" width="22.85546875" style="25" customWidth="1"/>
    <col min="1535" max="1535" width="20.7109375" style="25" customWidth="1"/>
    <col min="1536" max="1536" width="17.7109375" style="25" customWidth="1"/>
    <col min="1537" max="1545" width="14.7109375" style="25" customWidth="1"/>
    <col min="1546" max="1776" width="10.7109375" style="25"/>
    <col min="1777" max="1778" width="15.7109375" style="25" customWidth="1"/>
    <col min="1779" max="1781" width="14.7109375" style="25" customWidth="1"/>
    <col min="1782" max="1785" width="13.7109375" style="25" customWidth="1"/>
    <col min="1786" max="1789" width="15.7109375" style="25" customWidth="1"/>
    <col min="1790" max="1790" width="22.85546875" style="25" customWidth="1"/>
    <col min="1791" max="1791" width="20.7109375" style="25" customWidth="1"/>
    <col min="1792" max="1792" width="17.7109375" style="25" customWidth="1"/>
    <col min="1793" max="1801" width="14.7109375" style="25" customWidth="1"/>
    <col min="1802" max="2032" width="10.7109375" style="25"/>
    <col min="2033" max="2034" width="15.7109375" style="25" customWidth="1"/>
    <col min="2035" max="2037" width="14.7109375" style="25" customWidth="1"/>
    <col min="2038" max="2041" width="13.7109375" style="25" customWidth="1"/>
    <col min="2042" max="2045" width="15.7109375" style="25" customWidth="1"/>
    <col min="2046" max="2046" width="22.85546875" style="25" customWidth="1"/>
    <col min="2047" max="2047" width="20.7109375" style="25" customWidth="1"/>
    <col min="2048" max="2048" width="17.7109375" style="25" customWidth="1"/>
    <col min="2049" max="2057" width="14.7109375" style="25" customWidth="1"/>
    <col min="2058" max="2288" width="10.7109375" style="25"/>
    <col min="2289" max="2290" width="15.7109375" style="25" customWidth="1"/>
    <col min="2291" max="2293" width="14.7109375" style="25" customWidth="1"/>
    <col min="2294" max="2297" width="13.7109375" style="25" customWidth="1"/>
    <col min="2298" max="2301" width="15.7109375" style="25" customWidth="1"/>
    <col min="2302" max="2302" width="22.85546875" style="25" customWidth="1"/>
    <col min="2303" max="2303" width="20.7109375" style="25" customWidth="1"/>
    <col min="2304" max="2304" width="17.7109375" style="25" customWidth="1"/>
    <col min="2305" max="2313" width="14.7109375" style="25" customWidth="1"/>
    <col min="2314" max="2544" width="10.7109375" style="25"/>
    <col min="2545" max="2546" width="15.7109375" style="25" customWidth="1"/>
    <col min="2547" max="2549" width="14.7109375" style="25" customWidth="1"/>
    <col min="2550" max="2553" width="13.7109375" style="25" customWidth="1"/>
    <col min="2554" max="2557" width="15.7109375" style="25" customWidth="1"/>
    <col min="2558" max="2558" width="22.85546875" style="25" customWidth="1"/>
    <col min="2559" max="2559" width="20.7109375" style="25" customWidth="1"/>
    <col min="2560" max="2560" width="17.7109375" style="25" customWidth="1"/>
    <col min="2561" max="2569" width="14.7109375" style="25" customWidth="1"/>
    <col min="2570" max="2800" width="10.7109375" style="25"/>
    <col min="2801" max="2802" width="15.7109375" style="25" customWidth="1"/>
    <col min="2803" max="2805" width="14.7109375" style="25" customWidth="1"/>
    <col min="2806" max="2809" width="13.7109375" style="25" customWidth="1"/>
    <col min="2810" max="2813" width="15.7109375" style="25" customWidth="1"/>
    <col min="2814" max="2814" width="22.85546875" style="25" customWidth="1"/>
    <col min="2815" max="2815" width="20.7109375" style="25" customWidth="1"/>
    <col min="2816" max="2816" width="17.7109375" style="25" customWidth="1"/>
    <col min="2817" max="2825" width="14.7109375" style="25" customWidth="1"/>
    <col min="2826" max="3056" width="10.7109375" style="25"/>
    <col min="3057" max="3058" width="15.7109375" style="25" customWidth="1"/>
    <col min="3059" max="3061" width="14.7109375" style="25" customWidth="1"/>
    <col min="3062" max="3065" width="13.7109375" style="25" customWidth="1"/>
    <col min="3066" max="3069" width="15.7109375" style="25" customWidth="1"/>
    <col min="3070" max="3070" width="22.85546875" style="25" customWidth="1"/>
    <col min="3071" max="3071" width="20.7109375" style="25" customWidth="1"/>
    <col min="3072" max="3072" width="17.7109375" style="25" customWidth="1"/>
    <col min="3073" max="3081" width="14.7109375" style="25" customWidth="1"/>
    <col min="3082" max="3312" width="10.7109375" style="25"/>
    <col min="3313" max="3314" width="15.7109375" style="25" customWidth="1"/>
    <col min="3315" max="3317" width="14.7109375" style="25" customWidth="1"/>
    <col min="3318" max="3321" width="13.7109375" style="25" customWidth="1"/>
    <col min="3322" max="3325" width="15.7109375" style="25" customWidth="1"/>
    <col min="3326" max="3326" width="22.85546875" style="25" customWidth="1"/>
    <col min="3327" max="3327" width="20.7109375" style="25" customWidth="1"/>
    <col min="3328" max="3328" width="17.7109375" style="25" customWidth="1"/>
    <col min="3329" max="3337" width="14.7109375" style="25" customWidth="1"/>
    <col min="3338" max="3568" width="10.7109375" style="25"/>
    <col min="3569" max="3570" width="15.7109375" style="25" customWidth="1"/>
    <col min="3571" max="3573" width="14.7109375" style="25" customWidth="1"/>
    <col min="3574" max="3577" width="13.7109375" style="25" customWidth="1"/>
    <col min="3578" max="3581" width="15.7109375" style="25" customWidth="1"/>
    <col min="3582" max="3582" width="22.85546875" style="25" customWidth="1"/>
    <col min="3583" max="3583" width="20.7109375" style="25" customWidth="1"/>
    <col min="3584" max="3584" width="17.7109375" style="25" customWidth="1"/>
    <col min="3585" max="3593" width="14.7109375" style="25" customWidth="1"/>
    <col min="3594" max="3824" width="10.7109375" style="25"/>
    <col min="3825" max="3826" width="15.7109375" style="25" customWidth="1"/>
    <col min="3827" max="3829" width="14.7109375" style="25" customWidth="1"/>
    <col min="3830" max="3833" width="13.7109375" style="25" customWidth="1"/>
    <col min="3834" max="3837" width="15.7109375" style="25" customWidth="1"/>
    <col min="3838" max="3838" width="22.85546875" style="25" customWidth="1"/>
    <col min="3839" max="3839" width="20.7109375" style="25" customWidth="1"/>
    <col min="3840" max="3840" width="17.7109375" style="25" customWidth="1"/>
    <col min="3841" max="3849" width="14.7109375" style="25" customWidth="1"/>
    <col min="3850" max="4080" width="10.7109375" style="25"/>
    <col min="4081" max="4082" width="15.7109375" style="25" customWidth="1"/>
    <col min="4083" max="4085" width="14.7109375" style="25" customWidth="1"/>
    <col min="4086" max="4089" width="13.7109375" style="25" customWidth="1"/>
    <col min="4090" max="4093" width="15.7109375" style="25" customWidth="1"/>
    <col min="4094" max="4094" width="22.85546875" style="25" customWidth="1"/>
    <col min="4095" max="4095" width="20.7109375" style="25" customWidth="1"/>
    <col min="4096" max="4096" width="17.7109375" style="25" customWidth="1"/>
    <col min="4097" max="4105" width="14.7109375" style="25" customWidth="1"/>
    <col min="4106" max="4336" width="10.7109375" style="25"/>
    <col min="4337" max="4338" width="15.7109375" style="25" customWidth="1"/>
    <col min="4339" max="4341" width="14.7109375" style="25" customWidth="1"/>
    <col min="4342" max="4345" width="13.7109375" style="25" customWidth="1"/>
    <col min="4346" max="4349" width="15.7109375" style="25" customWidth="1"/>
    <col min="4350" max="4350" width="22.85546875" style="25" customWidth="1"/>
    <col min="4351" max="4351" width="20.7109375" style="25" customWidth="1"/>
    <col min="4352" max="4352" width="17.7109375" style="25" customWidth="1"/>
    <col min="4353" max="4361" width="14.7109375" style="25" customWidth="1"/>
    <col min="4362" max="4592" width="10.7109375" style="25"/>
    <col min="4593" max="4594" width="15.7109375" style="25" customWidth="1"/>
    <col min="4595" max="4597" width="14.7109375" style="25" customWidth="1"/>
    <col min="4598" max="4601" width="13.7109375" style="25" customWidth="1"/>
    <col min="4602" max="4605" width="15.7109375" style="25" customWidth="1"/>
    <col min="4606" max="4606" width="22.85546875" style="25" customWidth="1"/>
    <col min="4607" max="4607" width="20.7109375" style="25" customWidth="1"/>
    <col min="4608" max="4608" width="17.7109375" style="25" customWidth="1"/>
    <col min="4609" max="4617" width="14.7109375" style="25" customWidth="1"/>
    <col min="4618" max="4848" width="10.7109375" style="25"/>
    <col min="4849" max="4850" width="15.7109375" style="25" customWidth="1"/>
    <col min="4851" max="4853" width="14.7109375" style="25" customWidth="1"/>
    <col min="4854" max="4857" width="13.7109375" style="25" customWidth="1"/>
    <col min="4858" max="4861" width="15.7109375" style="25" customWidth="1"/>
    <col min="4862" max="4862" width="22.85546875" style="25" customWidth="1"/>
    <col min="4863" max="4863" width="20.7109375" style="25" customWidth="1"/>
    <col min="4864" max="4864" width="17.7109375" style="25" customWidth="1"/>
    <col min="4865" max="4873" width="14.7109375" style="25" customWidth="1"/>
    <col min="4874" max="5104" width="10.7109375" style="25"/>
    <col min="5105" max="5106" width="15.7109375" style="25" customWidth="1"/>
    <col min="5107" max="5109" width="14.7109375" style="25" customWidth="1"/>
    <col min="5110" max="5113" width="13.7109375" style="25" customWidth="1"/>
    <col min="5114" max="5117" width="15.7109375" style="25" customWidth="1"/>
    <col min="5118" max="5118" width="22.85546875" style="25" customWidth="1"/>
    <col min="5119" max="5119" width="20.7109375" style="25" customWidth="1"/>
    <col min="5120" max="5120" width="17.7109375" style="25" customWidth="1"/>
    <col min="5121" max="5129" width="14.7109375" style="25" customWidth="1"/>
    <col min="5130" max="5360" width="10.7109375" style="25"/>
    <col min="5361" max="5362" width="15.7109375" style="25" customWidth="1"/>
    <col min="5363" max="5365" width="14.7109375" style="25" customWidth="1"/>
    <col min="5366" max="5369" width="13.7109375" style="25" customWidth="1"/>
    <col min="5370" max="5373" width="15.7109375" style="25" customWidth="1"/>
    <col min="5374" max="5374" width="22.85546875" style="25" customWidth="1"/>
    <col min="5375" max="5375" width="20.7109375" style="25" customWidth="1"/>
    <col min="5376" max="5376" width="17.7109375" style="25" customWidth="1"/>
    <col min="5377" max="5385" width="14.7109375" style="25" customWidth="1"/>
    <col min="5386" max="5616" width="10.7109375" style="25"/>
    <col min="5617" max="5618" width="15.7109375" style="25" customWidth="1"/>
    <col min="5619" max="5621" width="14.7109375" style="25" customWidth="1"/>
    <col min="5622" max="5625" width="13.7109375" style="25" customWidth="1"/>
    <col min="5626" max="5629" width="15.7109375" style="25" customWidth="1"/>
    <col min="5630" max="5630" width="22.85546875" style="25" customWidth="1"/>
    <col min="5631" max="5631" width="20.7109375" style="25" customWidth="1"/>
    <col min="5632" max="5632" width="17.7109375" style="25" customWidth="1"/>
    <col min="5633" max="5641" width="14.7109375" style="25" customWidth="1"/>
    <col min="5642" max="5872" width="10.7109375" style="25"/>
    <col min="5873" max="5874" width="15.7109375" style="25" customWidth="1"/>
    <col min="5875" max="5877" width="14.7109375" style="25" customWidth="1"/>
    <col min="5878" max="5881" width="13.7109375" style="25" customWidth="1"/>
    <col min="5882" max="5885" width="15.7109375" style="25" customWidth="1"/>
    <col min="5886" max="5886" width="22.85546875" style="25" customWidth="1"/>
    <col min="5887" max="5887" width="20.7109375" style="25" customWidth="1"/>
    <col min="5888" max="5888" width="17.7109375" style="25" customWidth="1"/>
    <col min="5889" max="5897" width="14.7109375" style="25" customWidth="1"/>
    <col min="5898" max="6128" width="10.7109375" style="25"/>
    <col min="6129" max="6130" width="15.7109375" style="25" customWidth="1"/>
    <col min="6131" max="6133" width="14.7109375" style="25" customWidth="1"/>
    <col min="6134" max="6137" width="13.7109375" style="25" customWidth="1"/>
    <col min="6138" max="6141" width="15.7109375" style="25" customWidth="1"/>
    <col min="6142" max="6142" width="22.85546875" style="25" customWidth="1"/>
    <col min="6143" max="6143" width="20.7109375" style="25" customWidth="1"/>
    <col min="6144" max="6144" width="17.7109375" style="25" customWidth="1"/>
    <col min="6145" max="6153" width="14.7109375" style="25" customWidth="1"/>
    <col min="6154" max="6384" width="10.7109375" style="25"/>
    <col min="6385" max="6386" width="15.7109375" style="25" customWidth="1"/>
    <col min="6387" max="6389" width="14.7109375" style="25" customWidth="1"/>
    <col min="6390" max="6393" width="13.7109375" style="25" customWidth="1"/>
    <col min="6394" max="6397" width="15.7109375" style="25" customWidth="1"/>
    <col min="6398" max="6398" width="22.85546875" style="25" customWidth="1"/>
    <col min="6399" max="6399" width="20.7109375" style="25" customWidth="1"/>
    <col min="6400" max="6400" width="17.7109375" style="25" customWidth="1"/>
    <col min="6401" max="6409" width="14.7109375" style="25" customWidth="1"/>
    <col min="6410" max="6640" width="10.7109375" style="25"/>
    <col min="6641" max="6642" width="15.7109375" style="25" customWidth="1"/>
    <col min="6643" max="6645" width="14.7109375" style="25" customWidth="1"/>
    <col min="6646" max="6649" width="13.7109375" style="25" customWidth="1"/>
    <col min="6650" max="6653" width="15.7109375" style="25" customWidth="1"/>
    <col min="6654" max="6654" width="22.85546875" style="25" customWidth="1"/>
    <col min="6655" max="6655" width="20.7109375" style="25" customWidth="1"/>
    <col min="6656" max="6656" width="17.7109375" style="25" customWidth="1"/>
    <col min="6657" max="6665" width="14.7109375" style="25" customWidth="1"/>
    <col min="6666" max="6896" width="10.7109375" style="25"/>
    <col min="6897" max="6898" width="15.7109375" style="25" customWidth="1"/>
    <col min="6899" max="6901" width="14.7109375" style="25" customWidth="1"/>
    <col min="6902" max="6905" width="13.7109375" style="25" customWidth="1"/>
    <col min="6906" max="6909" width="15.7109375" style="25" customWidth="1"/>
    <col min="6910" max="6910" width="22.85546875" style="25" customWidth="1"/>
    <col min="6911" max="6911" width="20.7109375" style="25" customWidth="1"/>
    <col min="6912" max="6912" width="17.7109375" style="25" customWidth="1"/>
    <col min="6913" max="6921" width="14.7109375" style="25" customWidth="1"/>
    <col min="6922" max="7152" width="10.7109375" style="25"/>
    <col min="7153" max="7154" width="15.7109375" style="25" customWidth="1"/>
    <col min="7155" max="7157" width="14.7109375" style="25" customWidth="1"/>
    <col min="7158" max="7161" width="13.7109375" style="25" customWidth="1"/>
    <col min="7162" max="7165" width="15.7109375" style="25" customWidth="1"/>
    <col min="7166" max="7166" width="22.85546875" style="25" customWidth="1"/>
    <col min="7167" max="7167" width="20.7109375" style="25" customWidth="1"/>
    <col min="7168" max="7168" width="17.7109375" style="25" customWidth="1"/>
    <col min="7169" max="7177" width="14.7109375" style="25" customWidth="1"/>
    <col min="7178" max="7408" width="10.7109375" style="25"/>
    <col min="7409" max="7410" width="15.7109375" style="25" customWidth="1"/>
    <col min="7411" max="7413" width="14.7109375" style="25" customWidth="1"/>
    <col min="7414" max="7417" width="13.7109375" style="25" customWidth="1"/>
    <col min="7418" max="7421" width="15.7109375" style="25" customWidth="1"/>
    <col min="7422" max="7422" width="22.85546875" style="25" customWidth="1"/>
    <col min="7423" max="7423" width="20.7109375" style="25" customWidth="1"/>
    <col min="7424" max="7424" width="17.7109375" style="25" customWidth="1"/>
    <col min="7425" max="7433" width="14.7109375" style="25" customWidth="1"/>
    <col min="7434" max="7664" width="10.7109375" style="25"/>
    <col min="7665" max="7666" width="15.7109375" style="25" customWidth="1"/>
    <col min="7667" max="7669" width="14.7109375" style="25" customWidth="1"/>
    <col min="7670" max="7673" width="13.7109375" style="25" customWidth="1"/>
    <col min="7674" max="7677" width="15.7109375" style="25" customWidth="1"/>
    <col min="7678" max="7678" width="22.85546875" style="25" customWidth="1"/>
    <col min="7679" max="7679" width="20.7109375" style="25" customWidth="1"/>
    <col min="7680" max="7680" width="17.7109375" style="25" customWidth="1"/>
    <col min="7681" max="7689" width="14.7109375" style="25" customWidth="1"/>
    <col min="7690" max="7920" width="10.7109375" style="25"/>
    <col min="7921" max="7922" width="15.7109375" style="25" customWidth="1"/>
    <col min="7923" max="7925" width="14.7109375" style="25" customWidth="1"/>
    <col min="7926" max="7929" width="13.7109375" style="25" customWidth="1"/>
    <col min="7930" max="7933" width="15.7109375" style="25" customWidth="1"/>
    <col min="7934" max="7934" width="22.85546875" style="25" customWidth="1"/>
    <col min="7935" max="7935" width="20.7109375" style="25" customWidth="1"/>
    <col min="7936" max="7936" width="17.7109375" style="25" customWidth="1"/>
    <col min="7937" max="7945" width="14.7109375" style="25" customWidth="1"/>
    <col min="7946" max="8176" width="10.7109375" style="25"/>
    <col min="8177" max="8178" width="15.7109375" style="25" customWidth="1"/>
    <col min="8179" max="8181" width="14.7109375" style="25" customWidth="1"/>
    <col min="8182" max="8185" width="13.7109375" style="25" customWidth="1"/>
    <col min="8186" max="8189" width="15.7109375" style="25" customWidth="1"/>
    <col min="8190" max="8190" width="22.85546875" style="25" customWidth="1"/>
    <col min="8191" max="8191" width="20.7109375" style="25" customWidth="1"/>
    <col min="8192" max="8192" width="17.7109375" style="25" customWidth="1"/>
    <col min="8193" max="8201" width="14.7109375" style="25" customWidth="1"/>
    <col min="8202" max="8432" width="10.7109375" style="25"/>
    <col min="8433" max="8434" width="15.7109375" style="25" customWidth="1"/>
    <col min="8435" max="8437" width="14.7109375" style="25" customWidth="1"/>
    <col min="8438" max="8441" width="13.7109375" style="25" customWidth="1"/>
    <col min="8442" max="8445" width="15.7109375" style="25" customWidth="1"/>
    <col min="8446" max="8446" width="22.85546875" style="25" customWidth="1"/>
    <col min="8447" max="8447" width="20.7109375" style="25" customWidth="1"/>
    <col min="8448" max="8448" width="17.7109375" style="25" customWidth="1"/>
    <col min="8449" max="8457" width="14.7109375" style="25" customWidth="1"/>
    <col min="8458" max="8688" width="10.7109375" style="25"/>
    <col min="8689" max="8690" width="15.7109375" style="25" customWidth="1"/>
    <col min="8691" max="8693" width="14.7109375" style="25" customWidth="1"/>
    <col min="8694" max="8697" width="13.7109375" style="25" customWidth="1"/>
    <col min="8698" max="8701" width="15.7109375" style="25" customWidth="1"/>
    <col min="8702" max="8702" width="22.85546875" style="25" customWidth="1"/>
    <col min="8703" max="8703" width="20.7109375" style="25" customWidth="1"/>
    <col min="8704" max="8704" width="17.7109375" style="25" customWidth="1"/>
    <col min="8705" max="8713" width="14.7109375" style="25" customWidth="1"/>
    <col min="8714" max="8944" width="10.7109375" style="25"/>
    <col min="8945" max="8946" width="15.7109375" style="25" customWidth="1"/>
    <col min="8947" max="8949" width="14.7109375" style="25" customWidth="1"/>
    <col min="8950" max="8953" width="13.7109375" style="25" customWidth="1"/>
    <col min="8954" max="8957" width="15.7109375" style="25" customWidth="1"/>
    <col min="8958" max="8958" width="22.85546875" style="25" customWidth="1"/>
    <col min="8959" max="8959" width="20.7109375" style="25" customWidth="1"/>
    <col min="8960" max="8960" width="17.7109375" style="25" customWidth="1"/>
    <col min="8961" max="8969" width="14.7109375" style="25" customWidth="1"/>
    <col min="8970" max="9200" width="10.7109375" style="25"/>
    <col min="9201" max="9202" width="15.7109375" style="25" customWidth="1"/>
    <col min="9203" max="9205" width="14.7109375" style="25" customWidth="1"/>
    <col min="9206" max="9209" width="13.7109375" style="25" customWidth="1"/>
    <col min="9210" max="9213" width="15.7109375" style="25" customWidth="1"/>
    <col min="9214" max="9214" width="22.85546875" style="25" customWidth="1"/>
    <col min="9215" max="9215" width="20.7109375" style="25" customWidth="1"/>
    <col min="9216" max="9216" width="17.7109375" style="25" customWidth="1"/>
    <col min="9217" max="9225" width="14.7109375" style="25" customWidth="1"/>
    <col min="9226" max="9456" width="10.7109375" style="25"/>
    <col min="9457" max="9458" width="15.7109375" style="25" customWidth="1"/>
    <col min="9459" max="9461" width="14.7109375" style="25" customWidth="1"/>
    <col min="9462" max="9465" width="13.7109375" style="25" customWidth="1"/>
    <col min="9466" max="9469" width="15.7109375" style="25" customWidth="1"/>
    <col min="9470" max="9470" width="22.85546875" style="25" customWidth="1"/>
    <col min="9471" max="9471" width="20.7109375" style="25" customWidth="1"/>
    <col min="9472" max="9472" width="17.7109375" style="25" customWidth="1"/>
    <col min="9473" max="9481" width="14.7109375" style="25" customWidth="1"/>
    <col min="9482" max="9712" width="10.7109375" style="25"/>
    <col min="9713" max="9714" width="15.7109375" style="25" customWidth="1"/>
    <col min="9715" max="9717" width="14.7109375" style="25" customWidth="1"/>
    <col min="9718" max="9721" width="13.7109375" style="25" customWidth="1"/>
    <col min="9722" max="9725" width="15.7109375" style="25" customWidth="1"/>
    <col min="9726" max="9726" width="22.85546875" style="25" customWidth="1"/>
    <col min="9727" max="9727" width="20.7109375" style="25" customWidth="1"/>
    <col min="9728" max="9728" width="17.7109375" style="25" customWidth="1"/>
    <col min="9729" max="9737" width="14.7109375" style="25" customWidth="1"/>
    <col min="9738" max="9968" width="10.7109375" style="25"/>
    <col min="9969" max="9970" width="15.7109375" style="25" customWidth="1"/>
    <col min="9971" max="9973" width="14.7109375" style="25" customWidth="1"/>
    <col min="9974" max="9977" width="13.7109375" style="25" customWidth="1"/>
    <col min="9978" max="9981" width="15.7109375" style="25" customWidth="1"/>
    <col min="9982" max="9982" width="22.85546875" style="25" customWidth="1"/>
    <col min="9983" max="9983" width="20.7109375" style="25" customWidth="1"/>
    <col min="9984" max="9984" width="17.7109375" style="25" customWidth="1"/>
    <col min="9985" max="9993" width="14.7109375" style="25" customWidth="1"/>
    <col min="9994" max="10224" width="10.7109375" style="25"/>
    <col min="10225" max="10226" width="15.7109375" style="25" customWidth="1"/>
    <col min="10227" max="10229" width="14.7109375" style="25" customWidth="1"/>
    <col min="10230" max="10233" width="13.7109375" style="25" customWidth="1"/>
    <col min="10234" max="10237" width="15.7109375" style="25" customWidth="1"/>
    <col min="10238" max="10238" width="22.85546875" style="25" customWidth="1"/>
    <col min="10239" max="10239" width="20.7109375" style="25" customWidth="1"/>
    <col min="10240" max="10240" width="17.7109375" style="25" customWidth="1"/>
    <col min="10241" max="10249" width="14.7109375" style="25" customWidth="1"/>
    <col min="10250" max="10480" width="10.7109375" style="25"/>
    <col min="10481" max="10482" width="15.7109375" style="25" customWidth="1"/>
    <col min="10483" max="10485" width="14.7109375" style="25" customWidth="1"/>
    <col min="10486" max="10489" width="13.7109375" style="25" customWidth="1"/>
    <col min="10490" max="10493" width="15.7109375" style="25" customWidth="1"/>
    <col min="10494" max="10494" width="22.85546875" style="25" customWidth="1"/>
    <col min="10495" max="10495" width="20.7109375" style="25" customWidth="1"/>
    <col min="10496" max="10496" width="17.7109375" style="25" customWidth="1"/>
    <col min="10497" max="10505" width="14.7109375" style="25" customWidth="1"/>
    <col min="10506" max="10736" width="10.7109375" style="25"/>
    <col min="10737" max="10738" width="15.7109375" style="25" customWidth="1"/>
    <col min="10739" max="10741" width="14.7109375" style="25" customWidth="1"/>
    <col min="10742" max="10745" width="13.7109375" style="25" customWidth="1"/>
    <col min="10746" max="10749" width="15.7109375" style="25" customWidth="1"/>
    <col min="10750" max="10750" width="22.85546875" style="25" customWidth="1"/>
    <col min="10751" max="10751" width="20.7109375" style="25" customWidth="1"/>
    <col min="10752" max="10752" width="17.7109375" style="25" customWidth="1"/>
    <col min="10753" max="10761" width="14.7109375" style="25" customWidth="1"/>
    <col min="10762" max="10992" width="10.7109375" style="25"/>
    <col min="10993" max="10994" width="15.7109375" style="25" customWidth="1"/>
    <col min="10995" max="10997" width="14.7109375" style="25" customWidth="1"/>
    <col min="10998" max="11001" width="13.7109375" style="25" customWidth="1"/>
    <col min="11002" max="11005" width="15.7109375" style="25" customWidth="1"/>
    <col min="11006" max="11006" width="22.85546875" style="25" customWidth="1"/>
    <col min="11007" max="11007" width="20.7109375" style="25" customWidth="1"/>
    <col min="11008" max="11008" width="17.7109375" style="25" customWidth="1"/>
    <col min="11009" max="11017" width="14.7109375" style="25" customWidth="1"/>
    <col min="11018" max="11248" width="10.7109375" style="25"/>
    <col min="11249" max="11250" width="15.7109375" style="25" customWidth="1"/>
    <col min="11251" max="11253" width="14.7109375" style="25" customWidth="1"/>
    <col min="11254" max="11257" width="13.7109375" style="25" customWidth="1"/>
    <col min="11258" max="11261" width="15.7109375" style="25" customWidth="1"/>
    <col min="11262" max="11262" width="22.85546875" style="25" customWidth="1"/>
    <col min="11263" max="11263" width="20.7109375" style="25" customWidth="1"/>
    <col min="11264" max="11264" width="17.7109375" style="25" customWidth="1"/>
    <col min="11265" max="11273" width="14.7109375" style="25" customWidth="1"/>
    <col min="11274" max="11504" width="10.7109375" style="25"/>
    <col min="11505" max="11506" width="15.7109375" style="25" customWidth="1"/>
    <col min="11507" max="11509" width="14.7109375" style="25" customWidth="1"/>
    <col min="11510" max="11513" width="13.7109375" style="25" customWidth="1"/>
    <col min="11514" max="11517" width="15.7109375" style="25" customWidth="1"/>
    <col min="11518" max="11518" width="22.85546875" style="25" customWidth="1"/>
    <col min="11519" max="11519" width="20.7109375" style="25" customWidth="1"/>
    <col min="11520" max="11520" width="17.7109375" style="25" customWidth="1"/>
    <col min="11521" max="11529" width="14.7109375" style="25" customWidth="1"/>
    <col min="11530" max="11760" width="10.7109375" style="25"/>
    <col min="11761" max="11762" width="15.7109375" style="25" customWidth="1"/>
    <col min="11763" max="11765" width="14.7109375" style="25" customWidth="1"/>
    <col min="11766" max="11769" width="13.7109375" style="25" customWidth="1"/>
    <col min="11770" max="11773" width="15.7109375" style="25" customWidth="1"/>
    <col min="11774" max="11774" width="22.85546875" style="25" customWidth="1"/>
    <col min="11775" max="11775" width="20.7109375" style="25" customWidth="1"/>
    <col min="11776" max="11776" width="17.7109375" style="25" customWidth="1"/>
    <col min="11777" max="11785" width="14.7109375" style="25" customWidth="1"/>
    <col min="11786" max="12016" width="10.7109375" style="25"/>
    <col min="12017" max="12018" width="15.7109375" style="25" customWidth="1"/>
    <col min="12019" max="12021" width="14.7109375" style="25" customWidth="1"/>
    <col min="12022" max="12025" width="13.7109375" style="25" customWidth="1"/>
    <col min="12026" max="12029" width="15.7109375" style="25" customWidth="1"/>
    <col min="12030" max="12030" width="22.85546875" style="25" customWidth="1"/>
    <col min="12031" max="12031" width="20.7109375" style="25" customWidth="1"/>
    <col min="12032" max="12032" width="17.7109375" style="25" customWidth="1"/>
    <col min="12033" max="12041" width="14.7109375" style="25" customWidth="1"/>
    <col min="12042" max="12272" width="10.7109375" style="25"/>
    <col min="12273" max="12274" width="15.7109375" style="25" customWidth="1"/>
    <col min="12275" max="12277" width="14.7109375" style="25" customWidth="1"/>
    <col min="12278" max="12281" width="13.7109375" style="25" customWidth="1"/>
    <col min="12282" max="12285" width="15.7109375" style="25" customWidth="1"/>
    <col min="12286" max="12286" width="22.85546875" style="25" customWidth="1"/>
    <col min="12287" max="12287" width="20.7109375" style="25" customWidth="1"/>
    <col min="12288" max="12288" width="17.7109375" style="25" customWidth="1"/>
    <col min="12289" max="12297" width="14.7109375" style="25" customWidth="1"/>
    <col min="12298" max="12528" width="10.7109375" style="25"/>
    <col min="12529" max="12530" width="15.7109375" style="25" customWidth="1"/>
    <col min="12531" max="12533" width="14.7109375" style="25" customWidth="1"/>
    <col min="12534" max="12537" width="13.7109375" style="25" customWidth="1"/>
    <col min="12538" max="12541" width="15.7109375" style="25" customWidth="1"/>
    <col min="12542" max="12542" width="22.85546875" style="25" customWidth="1"/>
    <col min="12543" max="12543" width="20.7109375" style="25" customWidth="1"/>
    <col min="12544" max="12544" width="17.7109375" style="25" customWidth="1"/>
    <col min="12545" max="12553" width="14.7109375" style="25" customWidth="1"/>
    <col min="12554" max="12784" width="10.7109375" style="25"/>
    <col min="12785" max="12786" width="15.7109375" style="25" customWidth="1"/>
    <col min="12787" max="12789" width="14.7109375" style="25" customWidth="1"/>
    <col min="12790" max="12793" width="13.7109375" style="25" customWidth="1"/>
    <col min="12794" max="12797" width="15.7109375" style="25" customWidth="1"/>
    <col min="12798" max="12798" width="22.85546875" style="25" customWidth="1"/>
    <col min="12799" max="12799" width="20.7109375" style="25" customWidth="1"/>
    <col min="12800" max="12800" width="17.7109375" style="25" customWidth="1"/>
    <col min="12801" max="12809" width="14.7109375" style="25" customWidth="1"/>
    <col min="12810" max="13040" width="10.7109375" style="25"/>
    <col min="13041" max="13042" width="15.7109375" style="25" customWidth="1"/>
    <col min="13043" max="13045" width="14.7109375" style="25" customWidth="1"/>
    <col min="13046" max="13049" width="13.7109375" style="25" customWidth="1"/>
    <col min="13050" max="13053" width="15.7109375" style="25" customWidth="1"/>
    <col min="13054" max="13054" width="22.85546875" style="25" customWidth="1"/>
    <col min="13055" max="13055" width="20.7109375" style="25" customWidth="1"/>
    <col min="13056" max="13056" width="17.7109375" style="25" customWidth="1"/>
    <col min="13057" max="13065" width="14.7109375" style="25" customWidth="1"/>
    <col min="13066" max="13296" width="10.7109375" style="25"/>
    <col min="13297" max="13298" width="15.7109375" style="25" customWidth="1"/>
    <col min="13299" max="13301" width="14.7109375" style="25" customWidth="1"/>
    <col min="13302" max="13305" width="13.7109375" style="25" customWidth="1"/>
    <col min="13306" max="13309" width="15.7109375" style="25" customWidth="1"/>
    <col min="13310" max="13310" width="22.85546875" style="25" customWidth="1"/>
    <col min="13311" max="13311" width="20.7109375" style="25" customWidth="1"/>
    <col min="13312" max="13312" width="17.7109375" style="25" customWidth="1"/>
    <col min="13313" max="13321" width="14.7109375" style="25" customWidth="1"/>
    <col min="13322" max="13552" width="10.7109375" style="25"/>
    <col min="13553" max="13554" width="15.7109375" style="25" customWidth="1"/>
    <col min="13555" max="13557" width="14.7109375" style="25" customWidth="1"/>
    <col min="13558" max="13561" width="13.7109375" style="25" customWidth="1"/>
    <col min="13562" max="13565" width="15.7109375" style="25" customWidth="1"/>
    <col min="13566" max="13566" width="22.85546875" style="25" customWidth="1"/>
    <col min="13567" max="13567" width="20.7109375" style="25" customWidth="1"/>
    <col min="13568" max="13568" width="17.7109375" style="25" customWidth="1"/>
    <col min="13569" max="13577" width="14.7109375" style="25" customWidth="1"/>
    <col min="13578" max="13808" width="10.7109375" style="25"/>
    <col min="13809" max="13810" width="15.7109375" style="25" customWidth="1"/>
    <col min="13811" max="13813" width="14.7109375" style="25" customWidth="1"/>
    <col min="13814" max="13817" width="13.7109375" style="25" customWidth="1"/>
    <col min="13818" max="13821" width="15.7109375" style="25" customWidth="1"/>
    <col min="13822" max="13822" width="22.85546875" style="25" customWidth="1"/>
    <col min="13823" max="13823" width="20.7109375" style="25" customWidth="1"/>
    <col min="13824" max="13824" width="17.7109375" style="25" customWidth="1"/>
    <col min="13825" max="13833" width="14.7109375" style="25" customWidth="1"/>
    <col min="13834" max="14064" width="10.7109375" style="25"/>
    <col min="14065" max="14066" width="15.7109375" style="25" customWidth="1"/>
    <col min="14067" max="14069" width="14.7109375" style="25" customWidth="1"/>
    <col min="14070" max="14073" width="13.7109375" style="25" customWidth="1"/>
    <col min="14074" max="14077" width="15.7109375" style="25" customWidth="1"/>
    <col min="14078" max="14078" width="22.85546875" style="25" customWidth="1"/>
    <col min="14079" max="14079" width="20.7109375" style="25" customWidth="1"/>
    <col min="14080" max="14080" width="17.7109375" style="25" customWidth="1"/>
    <col min="14081" max="14089" width="14.7109375" style="25" customWidth="1"/>
    <col min="14090" max="14320" width="10.7109375" style="25"/>
    <col min="14321" max="14322" width="15.7109375" style="25" customWidth="1"/>
    <col min="14323" max="14325" width="14.7109375" style="25" customWidth="1"/>
    <col min="14326" max="14329" width="13.7109375" style="25" customWidth="1"/>
    <col min="14330" max="14333" width="15.7109375" style="25" customWidth="1"/>
    <col min="14334" max="14334" width="22.85546875" style="25" customWidth="1"/>
    <col min="14335" max="14335" width="20.7109375" style="25" customWidth="1"/>
    <col min="14336" max="14336" width="17.7109375" style="25" customWidth="1"/>
    <col min="14337" max="14345" width="14.7109375" style="25" customWidth="1"/>
    <col min="14346" max="14576" width="10.7109375" style="25"/>
    <col min="14577" max="14578" width="15.7109375" style="25" customWidth="1"/>
    <col min="14579" max="14581" width="14.7109375" style="25" customWidth="1"/>
    <col min="14582" max="14585" width="13.7109375" style="25" customWidth="1"/>
    <col min="14586" max="14589" width="15.7109375" style="25" customWidth="1"/>
    <col min="14590" max="14590" width="22.85546875" style="25" customWidth="1"/>
    <col min="14591" max="14591" width="20.7109375" style="25" customWidth="1"/>
    <col min="14592" max="14592" width="17.7109375" style="25" customWidth="1"/>
    <col min="14593" max="14601" width="14.7109375" style="25" customWidth="1"/>
    <col min="14602" max="14832" width="10.7109375" style="25"/>
    <col min="14833" max="14834" width="15.7109375" style="25" customWidth="1"/>
    <col min="14835" max="14837" width="14.7109375" style="25" customWidth="1"/>
    <col min="14838" max="14841" width="13.7109375" style="25" customWidth="1"/>
    <col min="14842" max="14845" width="15.7109375" style="25" customWidth="1"/>
    <col min="14846" max="14846" width="22.85546875" style="25" customWidth="1"/>
    <col min="14847" max="14847" width="20.7109375" style="25" customWidth="1"/>
    <col min="14848" max="14848" width="17.7109375" style="25" customWidth="1"/>
    <col min="14849" max="14857" width="14.7109375" style="25" customWidth="1"/>
    <col min="14858" max="15088" width="10.7109375" style="25"/>
    <col min="15089" max="15090" width="15.7109375" style="25" customWidth="1"/>
    <col min="15091" max="15093" width="14.7109375" style="25" customWidth="1"/>
    <col min="15094" max="15097" width="13.7109375" style="25" customWidth="1"/>
    <col min="15098" max="15101" width="15.7109375" style="25" customWidth="1"/>
    <col min="15102" max="15102" width="22.85546875" style="25" customWidth="1"/>
    <col min="15103" max="15103" width="20.7109375" style="25" customWidth="1"/>
    <col min="15104" max="15104" width="17.7109375" style="25" customWidth="1"/>
    <col min="15105" max="15113" width="14.7109375" style="25" customWidth="1"/>
    <col min="15114" max="15344" width="10.7109375" style="25"/>
    <col min="15345" max="15346" width="15.7109375" style="25" customWidth="1"/>
    <col min="15347" max="15349" width="14.7109375" style="25" customWidth="1"/>
    <col min="15350" max="15353" width="13.7109375" style="25" customWidth="1"/>
    <col min="15354" max="15357" width="15.7109375" style="25" customWidth="1"/>
    <col min="15358" max="15358" width="22.85546875" style="25" customWidth="1"/>
    <col min="15359" max="15359" width="20.7109375" style="25" customWidth="1"/>
    <col min="15360" max="15360" width="17.7109375" style="25" customWidth="1"/>
    <col min="15361" max="15369" width="14.7109375" style="25" customWidth="1"/>
    <col min="15370" max="15600" width="10.7109375" style="25"/>
    <col min="15601" max="15602" width="15.7109375" style="25" customWidth="1"/>
    <col min="15603" max="15605" width="14.7109375" style="25" customWidth="1"/>
    <col min="15606" max="15609" width="13.7109375" style="25" customWidth="1"/>
    <col min="15610" max="15613" width="15.7109375" style="25" customWidth="1"/>
    <col min="15614" max="15614" width="22.85546875" style="25" customWidth="1"/>
    <col min="15615" max="15615" width="20.7109375" style="25" customWidth="1"/>
    <col min="15616" max="15616" width="17.7109375" style="25" customWidth="1"/>
    <col min="15617" max="15625" width="14.7109375" style="25" customWidth="1"/>
    <col min="15626" max="15856" width="10.7109375" style="25"/>
    <col min="15857" max="15858" width="15.7109375" style="25" customWidth="1"/>
    <col min="15859" max="15861" width="14.7109375" style="25" customWidth="1"/>
    <col min="15862" max="15865" width="13.7109375" style="25" customWidth="1"/>
    <col min="15866" max="15869" width="15.7109375" style="25" customWidth="1"/>
    <col min="15870" max="15870" width="22.85546875" style="25" customWidth="1"/>
    <col min="15871" max="15871" width="20.7109375" style="25" customWidth="1"/>
    <col min="15872" max="15872" width="17.7109375" style="25" customWidth="1"/>
    <col min="15873" max="15881" width="14.7109375" style="25" customWidth="1"/>
    <col min="15882" max="16112" width="10.7109375" style="25"/>
    <col min="16113" max="16114" width="15.7109375" style="25" customWidth="1"/>
    <col min="16115" max="16117" width="14.7109375" style="25" customWidth="1"/>
    <col min="16118" max="16121" width="13.7109375" style="25" customWidth="1"/>
    <col min="16122" max="16125" width="15.7109375" style="25" customWidth="1"/>
    <col min="16126" max="16126" width="22.85546875" style="25" customWidth="1"/>
    <col min="16127" max="16127" width="20.7109375" style="25" customWidth="1"/>
    <col min="16128" max="16128" width="17.7109375" style="25" customWidth="1"/>
    <col min="16129" max="16137" width="14.7109375" style="25" customWidth="1"/>
    <col min="16138" max="16384" width="10.7109375" style="25"/>
  </cols>
  <sheetData>
    <row r="1" spans="1:27" ht="25.5" customHeight="1" x14ac:dyDescent="0.25">
      <c r="AA1" s="20" t="s">
        <v>66</v>
      </c>
    </row>
    <row r="2" spans="1:27" s="13" customFormat="1" ht="18.75" customHeight="1" x14ac:dyDescent="0.3">
      <c r="AA2" s="11" t="s">
        <v>8</v>
      </c>
    </row>
    <row r="3" spans="1:27" s="13" customFormat="1" ht="18.75" customHeight="1" x14ac:dyDescent="0.3">
      <c r="AA3" s="11" t="s">
        <v>65</v>
      </c>
    </row>
    <row r="4" spans="1:27" s="13" customFormat="1" x14ac:dyDescent="0.2">
      <c r="E4" s="102"/>
    </row>
    <row r="5" spans="1:27" s="13" customFormat="1"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331"/>
      <c r="Q5" s="331"/>
      <c r="R5" s="331"/>
      <c r="S5" s="331"/>
      <c r="T5" s="331"/>
      <c r="U5" s="331"/>
      <c r="V5" s="331"/>
      <c r="W5" s="331"/>
      <c r="X5" s="331"/>
      <c r="Y5" s="331"/>
      <c r="Z5" s="331"/>
      <c r="AA5" s="331"/>
    </row>
    <row r="6" spans="1:27" s="13" customFormat="1" x14ac:dyDescent="0.2">
      <c r="A6" s="99"/>
      <c r="B6" s="99"/>
      <c r="C6" s="99"/>
      <c r="D6" s="99"/>
      <c r="E6" s="99"/>
      <c r="F6" s="99"/>
      <c r="G6" s="99"/>
      <c r="H6" s="99"/>
      <c r="I6" s="99"/>
      <c r="J6" s="99"/>
      <c r="K6" s="99"/>
      <c r="L6" s="99"/>
      <c r="M6" s="99"/>
      <c r="N6" s="99"/>
      <c r="O6" s="99"/>
      <c r="P6" s="99"/>
      <c r="Q6" s="99"/>
      <c r="R6" s="99"/>
      <c r="S6" s="99"/>
      <c r="T6" s="99"/>
    </row>
    <row r="7" spans="1:27" s="13"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13" customFormat="1" ht="18.75" x14ac:dyDescent="0.2">
      <c r="E8" s="115"/>
      <c r="F8" s="115"/>
      <c r="G8" s="115"/>
      <c r="H8" s="115"/>
      <c r="I8" s="115"/>
      <c r="J8" s="115"/>
      <c r="K8" s="115"/>
      <c r="L8" s="115"/>
      <c r="M8" s="115"/>
      <c r="N8" s="115"/>
      <c r="O8" s="115"/>
      <c r="P8" s="115"/>
      <c r="Q8" s="115"/>
      <c r="R8" s="115"/>
      <c r="S8" s="104"/>
      <c r="T8" s="104"/>
      <c r="U8" s="104"/>
      <c r="V8" s="104"/>
      <c r="W8" s="104"/>
    </row>
    <row r="9" spans="1:27" s="13" customFormat="1" ht="18.75" customHeight="1" x14ac:dyDescent="0.2">
      <c r="E9" s="338" t="str">
        <f>'1. паспорт местоположение'!A9</f>
        <v xml:space="preserve">Акционерное общество "Западная энергетическая компания" </v>
      </c>
      <c r="F9" s="338"/>
      <c r="G9" s="338"/>
      <c r="H9" s="338"/>
      <c r="I9" s="338"/>
      <c r="J9" s="338"/>
      <c r="K9" s="338"/>
      <c r="L9" s="338"/>
      <c r="M9" s="338"/>
      <c r="N9" s="338"/>
      <c r="O9" s="338"/>
      <c r="P9" s="338"/>
      <c r="Q9" s="338"/>
      <c r="R9" s="338"/>
      <c r="S9" s="338"/>
      <c r="T9" s="338"/>
      <c r="U9" s="338"/>
      <c r="V9" s="338"/>
      <c r="W9" s="338"/>
      <c r="X9" s="338"/>
      <c r="Y9" s="338"/>
    </row>
    <row r="10" spans="1:27" s="13" customFormat="1" ht="18.75" customHeight="1" x14ac:dyDescent="0.2">
      <c r="E10" s="344" t="s">
        <v>6</v>
      </c>
      <c r="F10" s="344"/>
      <c r="G10" s="344"/>
      <c r="H10" s="344"/>
      <c r="I10" s="344"/>
      <c r="J10" s="344"/>
      <c r="K10" s="344"/>
      <c r="L10" s="344"/>
      <c r="M10" s="344"/>
      <c r="N10" s="344"/>
      <c r="O10" s="344"/>
      <c r="P10" s="344"/>
      <c r="Q10" s="344"/>
      <c r="R10" s="344"/>
      <c r="S10" s="344"/>
      <c r="T10" s="344"/>
      <c r="U10" s="344"/>
      <c r="V10" s="344"/>
      <c r="W10" s="344"/>
      <c r="X10" s="344"/>
      <c r="Y10" s="344"/>
    </row>
    <row r="11" spans="1:27" s="13" customFormat="1" ht="18.75" x14ac:dyDescent="0.2">
      <c r="E11" s="115"/>
      <c r="F11" s="115"/>
      <c r="G11" s="115"/>
      <c r="H11" s="115"/>
      <c r="I11" s="115"/>
      <c r="J11" s="115"/>
      <c r="K11" s="115"/>
      <c r="L11" s="115"/>
      <c r="M11" s="115"/>
      <c r="N11" s="115"/>
      <c r="O11" s="115"/>
      <c r="P11" s="115"/>
      <c r="Q11" s="115"/>
      <c r="R11" s="115"/>
      <c r="S11" s="104"/>
      <c r="T11" s="104"/>
      <c r="U11" s="104"/>
      <c r="V11" s="104"/>
      <c r="W11" s="104"/>
    </row>
    <row r="12" spans="1:27" s="13" customFormat="1" ht="18.75" customHeight="1" x14ac:dyDescent="0.2">
      <c r="E12" s="338" t="str">
        <f>'1. паспорт местоположение'!A12</f>
        <v>O 24-35</v>
      </c>
      <c r="F12" s="338"/>
      <c r="G12" s="338"/>
      <c r="H12" s="338"/>
      <c r="I12" s="338"/>
      <c r="J12" s="338"/>
      <c r="K12" s="338"/>
      <c r="L12" s="338"/>
      <c r="M12" s="338"/>
      <c r="N12" s="338"/>
      <c r="O12" s="338"/>
      <c r="P12" s="338"/>
      <c r="Q12" s="338"/>
      <c r="R12" s="338"/>
      <c r="S12" s="338"/>
      <c r="T12" s="338"/>
      <c r="U12" s="338"/>
      <c r="V12" s="338"/>
      <c r="W12" s="338"/>
      <c r="X12" s="338"/>
      <c r="Y12" s="338"/>
    </row>
    <row r="13" spans="1:27" s="13" customFormat="1" ht="18.75" customHeight="1" x14ac:dyDescent="0.2">
      <c r="E13" s="344" t="s">
        <v>5</v>
      </c>
      <c r="F13" s="344"/>
      <c r="G13" s="344"/>
      <c r="H13" s="344"/>
      <c r="I13" s="344"/>
      <c r="J13" s="344"/>
      <c r="K13" s="344"/>
      <c r="L13" s="344"/>
      <c r="M13" s="344"/>
      <c r="N13" s="344"/>
      <c r="O13" s="344"/>
      <c r="P13" s="344"/>
      <c r="Q13" s="344"/>
      <c r="R13" s="344"/>
      <c r="S13" s="344"/>
      <c r="T13" s="344"/>
      <c r="U13" s="344"/>
      <c r="V13" s="344"/>
      <c r="W13" s="344"/>
      <c r="X13" s="344"/>
      <c r="Y13" s="344"/>
    </row>
    <row r="14" spans="1:27" s="13" customFormat="1" ht="15.75" customHeight="1" x14ac:dyDescent="0.2">
      <c r="E14" s="105"/>
      <c r="F14" s="105"/>
      <c r="G14" s="105"/>
      <c r="H14" s="105"/>
      <c r="I14" s="105"/>
      <c r="J14" s="105"/>
      <c r="K14" s="105"/>
      <c r="L14" s="105"/>
      <c r="M14" s="105"/>
      <c r="N14" s="105"/>
      <c r="O14" s="105"/>
      <c r="P14" s="105"/>
      <c r="Q14" s="105"/>
      <c r="R14" s="105"/>
      <c r="S14" s="105"/>
      <c r="T14" s="105"/>
      <c r="U14" s="105"/>
      <c r="V14" s="105"/>
      <c r="W14" s="105"/>
    </row>
    <row r="15" spans="1:27" s="103" customFormat="1" x14ac:dyDescent="0.2">
      <c r="E15" s="338" t="str">
        <f>'1. паспорт местоположение'!A15</f>
        <v>Покупка объектов основных средств электросетевого хозяйства</v>
      </c>
      <c r="F15" s="338"/>
      <c r="G15" s="338"/>
      <c r="H15" s="338"/>
      <c r="I15" s="338"/>
      <c r="J15" s="338"/>
      <c r="K15" s="338"/>
      <c r="L15" s="338"/>
      <c r="M15" s="338"/>
      <c r="N15" s="338"/>
      <c r="O15" s="338"/>
      <c r="P15" s="338"/>
      <c r="Q15" s="338"/>
      <c r="R15" s="338"/>
      <c r="S15" s="338"/>
      <c r="T15" s="338"/>
      <c r="U15" s="338"/>
      <c r="V15" s="338"/>
      <c r="W15" s="338"/>
      <c r="X15" s="338"/>
      <c r="Y15" s="338"/>
    </row>
    <row r="16" spans="1:27" s="103" customFormat="1" ht="15" customHeight="1" x14ac:dyDescent="0.2">
      <c r="E16" s="344" t="s">
        <v>4</v>
      </c>
      <c r="F16" s="344"/>
      <c r="G16" s="344"/>
      <c r="H16" s="344"/>
      <c r="I16" s="344"/>
      <c r="J16" s="344"/>
      <c r="K16" s="344"/>
      <c r="L16" s="344"/>
      <c r="M16" s="344"/>
      <c r="N16" s="344"/>
      <c r="O16" s="344"/>
      <c r="P16" s="344"/>
      <c r="Q16" s="344"/>
      <c r="R16" s="344"/>
      <c r="S16" s="344"/>
      <c r="T16" s="344"/>
      <c r="U16" s="344"/>
      <c r="V16" s="344"/>
      <c r="W16" s="344"/>
      <c r="X16" s="344"/>
      <c r="Y16" s="344"/>
    </row>
    <row r="17" spans="1:27" s="103" customFormat="1" ht="15" customHeight="1" x14ac:dyDescent="0.2">
      <c r="E17" s="105"/>
      <c r="F17" s="105"/>
      <c r="G17" s="105"/>
      <c r="H17" s="105"/>
      <c r="I17" s="105"/>
      <c r="J17" s="105"/>
      <c r="K17" s="105"/>
      <c r="L17" s="105"/>
      <c r="M17" s="105"/>
      <c r="N17" s="105"/>
      <c r="O17" s="105"/>
      <c r="P17" s="105"/>
      <c r="Q17" s="105"/>
      <c r="R17" s="105"/>
      <c r="S17" s="105"/>
      <c r="T17" s="105"/>
      <c r="U17" s="105"/>
      <c r="V17" s="105"/>
      <c r="W17" s="105"/>
    </row>
    <row r="18" spans="1:27" s="103" customFormat="1" ht="15" customHeight="1" x14ac:dyDescent="0.2">
      <c r="E18" s="362"/>
      <c r="F18" s="362"/>
      <c r="G18" s="362"/>
      <c r="H18" s="362"/>
      <c r="I18" s="362"/>
      <c r="J18" s="362"/>
      <c r="K18" s="362"/>
      <c r="L18" s="362"/>
      <c r="M18" s="362"/>
      <c r="N18" s="362"/>
      <c r="O18" s="362"/>
      <c r="P18" s="362"/>
      <c r="Q18" s="362"/>
      <c r="R18" s="362"/>
      <c r="S18" s="362"/>
      <c r="T18" s="362"/>
      <c r="U18" s="362"/>
      <c r="V18" s="362"/>
      <c r="W18" s="362"/>
      <c r="X18" s="362"/>
      <c r="Y18" s="362"/>
    </row>
    <row r="19" spans="1:27" ht="25.5" customHeight="1" x14ac:dyDescent="0.25">
      <c r="A19" s="362" t="s">
        <v>389</v>
      </c>
      <c r="B19" s="362"/>
      <c r="C19" s="362"/>
      <c r="D19" s="362"/>
      <c r="E19" s="362"/>
      <c r="F19" s="362"/>
      <c r="G19" s="362"/>
      <c r="H19" s="362"/>
      <c r="I19" s="362"/>
      <c r="J19" s="362"/>
      <c r="K19" s="362"/>
      <c r="L19" s="362"/>
      <c r="M19" s="362"/>
      <c r="N19" s="362"/>
      <c r="O19" s="362"/>
      <c r="P19" s="362"/>
      <c r="Q19" s="362"/>
      <c r="R19" s="362"/>
      <c r="S19" s="362"/>
      <c r="T19" s="362"/>
      <c r="U19" s="362"/>
      <c r="V19" s="362"/>
      <c r="W19" s="362"/>
      <c r="X19" s="362"/>
      <c r="Y19" s="362"/>
      <c r="Z19" s="362"/>
      <c r="AA19" s="362"/>
    </row>
    <row r="20" spans="1:27" s="26" customFormat="1" ht="21" customHeight="1" x14ac:dyDescent="0.25"/>
    <row r="21" spans="1:27" ht="27.75" customHeight="1" x14ac:dyDescent="0.25">
      <c r="A21" s="353" t="s">
        <v>3</v>
      </c>
      <c r="B21" s="349" t="s">
        <v>396</v>
      </c>
      <c r="C21" s="350"/>
      <c r="D21" s="349" t="s">
        <v>398</v>
      </c>
      <c r="E21" s="350"/>
      <c r="F21" s="359" t="s">
        <v>88</v>
      </c>
      <c r="G21" s="361"/>
      <c r="H21" s="361"/>
      <c r="I21" s="360"/>
      <c r="J21" s="353" t="s">
        <v>399</v>
      </c>
      <c r="K21" s="349" t="s">
        <v>400</v>
      </c>
      <c r="L21" s="350"/>
      <c r="M21" s="349" t="s">
        <v>401</v>
      </c>
      <c r="N21" s="350"/>
      <c r="O21" s="349" t="s">
        <v>388</v>
      </c>
      <c r="P21" s="350"/>
      <c r="Q21" s="349" t="s">
        <v>121</v>
      </c>
      <c r="R21" s="350"/>
      <c r="S21" s="353" t="s">
        <v>120</v>
      </c>
      <c r="T21" s="353" t="s">
        <v>402</v>
      </c>
      <c r="U21" s="353" t="s">
        <v>397</v>
      </c>
      <c r="V21" s="349" t="s">
        <v>119</v>
      </c>
      <c r="W21" s="350"/>
      <c r="X21" s="359" t="s">
        <v>111</v>
      </c>
      <c r="Y21" s="361"/>
      <c r="Z21" s="359" t="s">
        <v>110</v>
      </c>
      <c r="AA21" s="361"/>
    </row>
    <row r="22" spans="1:27" ht="216" customHeight="1" x14ac:dyDescent="0.25">
      <c r="A22" s="355"/>
      <c r="B22" s="351"/>
      <c r="C22" s="352"/>
      <c r="D22" s="351"/>
      <c r="E22" s="352"/>
      <c r="F22" s="359" t="s">
        <v>118</v>
      </c>
      <c r="G22" s="360"/>
      <c r="H22" s="359" t="s">
        <v>117</v>
      </c>
      <c r="I22" s="360"/>
      <c r="J22" s="354"/>
      <c r="K22" s="351"/>
      <c r="L22" s="352"/>
      <c r="M22" s="351"/>
      <c r="N22" s="352"/>
      <c r="O22" s="351"/>
      <c r="P22" s="352"/>
      <c r="Q22" s="351"/>
      <c r="R22" s="352"/>
      <c r="S22" s="354"/>
      <c r="T22" s="354"/>
      <c r="U22" s="354"/>
      <c r="V22" s="351"/>
      <c r="W22" s="352"/>
      <c r="X22" s="53" t="s">
        <v>109</v>
      </c>
      <c r="Y22" s="53" t="s">
        <v>386</v>
      </c>
      <c r="Z22" s="53" t="s">
        <v>108</v>
      </c>
      <c r="AA22" s="53" t="s">
        <v>107</v>
      </c>
    </row>
    <row r="23" spans="1:27" ht="60" customHeight="1" x14ac:dyDescent="0.25">
      <c r="A23" s="354"/>
      <c r="B23" s="100" t="s">
        <v>105</v>
      </c>
      <c r="C23" s="100" t="s">
        <v>106</v>
      </c>
      <c r="D23" s="100" t="s">
        <v>105</v>
      </c>
      <c r="E23" s="100" t="s">
        <v>106</v>
      </c>
      <c r="F23" s="100" t="s">
        <v>105</v>
      </c>
      <c r="G23" s="100" t="s">
        <v>106</v>
      </c>
      <c r="H23" s="100" t="s">
        <v>105</v>
      </c>
      <c r="I23" s="100" t="s">
        <v>106</v>
      </c>
      <c r="J23" s="100" t="s">
        <v>105</v>
      </c>
      <c r="K23" s="100" t="s">
        <v>105</v>
      </c>
      <c r="L23" s="100" t="s">
        <v>106</v>
      </c>
      <c r="M23" s="100" t="s">
        <v>105</v>
      </c>
      <c r="N23" s="100" t="s">
        <v>106</v>
      </c>
      <c r="O23" s="100" t="s">
        <v>105</v>
      </c>
      <c r="P23" s="100" t="s">
        <v>106</v>
      </c>
      <c r="Q23" s="100" t="s">
        <v>105</v>
      </c>
      <c r="R23" s="100" t="s">
        <v>106</v>
      </c>
      <c r="S23" s="100" t="s">
        <v>105</v>
      </c>
      <c r="T23" s="100" t="s">
        <v>105</v>
      </c>
      <c r="U23" s="100" t="s">
        <v>105</v>
      </c>
      <c r="V23" s="100" t="s">
        <v>105</v>
      </c>
      <c r="W23" s="100" t="s">
        <v>106</v>
      </c>
      <c r="X23" s="100" t="s">
        <v>105</v>
      </c>
      <c r="Y23" s="100" t="s">
        <v>105</v>
      </c>
      <c r="Z23" s="53" t="s">
        <v>105</v>
      </c>
      <c r="AA23" s="53" t="s">
        <v>105</v>
      </c>
    </row>
    <row r="24" spans="1:27" x14ac:dyDescent="0.25">
      <c r="A24" s="307">
        <v>1</v>
      </c>
      <c r="B24" s="307">
        <v>2</v>
      </c>
      <c r="C24" s="307">
        <v>3</v>
      </c>
      <c r="D24" s="307">
        <v>4</v>
      </c>
      <c r="E24" s="307">
        <v>5</v>
      </c>
      <c r="F24" s="307">
        <v>6</v>
      </c>
      <c r="G24" s="307">
        <v>7</v>
      </c>
      <c r="H24" s="307">
        <v>8</v>
      </c>
      <c r="I24" s="307">
        <v>9</v>
      </c>
      <c r="J24" s="307">
        <v>10</v>
      </c>
      <c r="K24" s="307">
        <v>11</v>
      </c>
      <c r="L24" s="307">
        <v>12</v>
      </c>
      <c r="M24" s="307">
        <v>13</v>
      </c>
      <c r="N24" s="307">
        <v>14</v>
      </c>
      <c r="O24" s="307">
        <v>15</v>
      </c>
      <c r="P24" s="307">
        <v>16</v>
      </c>
      <c r="Q24" s="307">
        <v>19</v>
      </c>
      <c r="R24" s="307">
        <v>20</v>
      </c>
      <c r="S24" s="307">
        <v>21</v>
      </c>
      <c r="T24" s="307">
        <v>22</v>
      </c>
      <c r="U24" s="307">
        <v>23</v>
      </c>
      <c r="V24" s="307">
        <v>24</v>
      </c>
      <c r="W24" s="307">
        <v>25</v>
      </c>
      <c r="X24" s="307">
        <v>26</v>
      </c>
      <c r="Y24" s="307">
        <v>27</v>
      </c>
      <c r="Z24" s="307">
        <v>28</v>
      </c>
      <c r="AA24" s="307">
        <v>29</v>
      </c>
    </row>
    <row r="25" spans="1:27" ht="31.5" x14ac:dyDescent="0.25">
      <c r="A25" s="304">
        <v>1</v>
      </c>
      <c r="B25" s="304" t="s">
        <v>297</v>
      </c>
      <c r="C25" s="305" t="s">
        <v>671</v>
      </c>
      <c r="D25" s="304" t="s">
        <v>297</v>
      </c>
      <c r="E25" s="301" t="s">
        <v>671</v>
      </c>
      <c r="F25" s="313" t="s">
        <v>297</v>
      </c>
      <c r="G25" s="313">
        <v>10</v>
      </c>
      <c r="H25" s="313" t="s">
        <v>297</v>
      </c>
      <c r="I25" s="313">
        <v>10</v>
      </c>
      <c r="J25" s="313">
        <v>2024</v>
      </c>
      <c r="K25" s="313" t="s">
        <v>297</v>
      </c>
      <c r="L25" s="313">
        <v>1</v>
      </c>
      <c r="M25" s="313" t="s">
        <v>297</v>
      </c>
      <c r="N25" s="305" t="s">
        <v>598</v>
      </c>
      <c r="O25" s="313" t="s">
        <v>297</v>
      </c>
      <c r="P25" s="313" t="s">
        <v>600</v>
      </c>
      <c r="Q25" s="313" t="s">
        <v>297</v>
      </c>
      <c r="R25" s="313">
        <v>3.61</v>
      </c>
      <c r="S25" s="304" t="s">
        <v>297</v>
      </c>
      <c r="T25" s="304" t="s">
        <v>297</v>
      </c>
      <c r="U25" s="304" t="s">
        <v>297</v>
      </c>
      <c r="V25" s="304" t="s">
        <v>297</v>
      </c>
      <c r="W25" s="304" t="s">
        <v>297</v>
      </c>
      <c r="X25" s="304" t="s">
        <v>297</v>
      </c>
      <c r="Y25" s="304" t="s">
        <v>297</v>
      </c>
      <c r="Z25" s="304" t="s">
        <v>297</v>
      </c>
      <c r="AA25" s="304" t="s">
        <v>297</v>
      </c>
    </row>
    <row r="26" spans="1:27" ht="31.5" x14ac:dyDescent="0.25">
      <c r="A26" s="304">
        <f>A25+1</f>
        <v>2</v>
      </c>
      <c r="B26" s="304" t="s">
        <v>297</v>
      </c>
      <c r="C26" s="305" t="s">
        <v>672</v>
      </c>
      <c r="D26" s="304" t="s">
        <v>297</v>
      </c>
      <c r="E26" s="301" t="s">
        <v>672</v>
      </c>
      <c r="F26" s="313" t="s">
        <v>297</v>
      </c>
      <c r="G26" s="313">
        <v>10</v>
      </c>
      <c r="H26" s="313" t="s">
        <v>297</v>
      </c>
      <c r="I26" s="313">
        <v>10</v>
      </c>
      <c r="J26" s="313">
        <v>2024</v>
      </c>
      <c r="K26" s="313"/>
      <c r="L26" s="313">
        <v>1</v>
      </c>
      <c r="M26" s="313" t="s">
        <v>297</v>
      </c>
      <c r="N26" s="305" t="s">
        <v>598</v>
      </c>
      <c r="O26" s="313" t="s">
        <v>297</v>
      </c>
      <c r="P26" s="313" t="s">
        <v>600</v>
      </c>
      <c r="Q26" s="313" t="s">
        <v>297</v>
      </c>
      <c r="R26" s="313">
        <v>3.61</v>
      </c>
      <c r="S26" s="304" t="s">
        <v>297</v>
      </c>
      <c r="T26" s="304" t="s">
        <v>297</v>
      </c>
      <c r="U26" s="304" t="s">
        <v>297</v>
      </c>
      <c r="V26" s="304" t="s">
        <v>297</v>
      </c>
      <c r="W26" s="304" t="s">
        <v>297</v>
      </c>
      <c r="X26" s="304" t="s">
        <v>297</v>
      </c>
      <c r="Y26" s="304" t="s">
        <v>297</v>
      </c>
      <c r="Z26" s="304" t="s">
        <v>297</v>
      </c>
      <c r="AA26" s="304" t="s">
        <v>297</v>
      </c>
    </row>
    <row r="27" spans="1:27" ht="38.25" customHeight="1" x14ac:dyDescent="0.25">
      <c r="A27" s="304">
        <f t="shared" ref="A27:A75" si="0">A26+1</f>
        <v>3</v>
      </c>
      <c r="B27" s="304" t="s">
        <v>297</v>
      </c>
      <c r="C27" s="309" t="s">
        <v>673</v>
      </c>
      <c r="D27" s="304" t="s">
        <v>297</v>
      </c>
      <c r="E27" s="309" t="s">
        <v>673</v>
      </c>
      <c r="F27" s="313" t="s">
        <v>297</v>
      </c>
      <c r="G27" s="313">
        <v>0.4</v>
      </c>
      <c r="H27" s="313" t="s">
        <v>297</v>
      </c>
      <c r="I27" s="313">
        <v>0.4</v>
      </c>
      <c r="J27" s="313">
        <v>2024</v>
      </c>
      <c r="K27" s="313" t="s">
        <v>297</v>
      </c>
      <c r="L27" s="313">
        <v>1</v>
      </c>
      <c r="M27" s="313" t="s">
        <v>297</v>
      </c>
      <c r="N27" s="305" t="s">
        <v>599</v>
      </c>
      <c r="O27" s="313" t="s">
        <v>297</v>
      </c>
      <c r="P27" s="313" t="s">
        <v>600</v>
      </c>
      <c r="Q27" s="313" t="s">
        <v>297</v>
      </c>
      <c r="R27" s="313">
        <v>0.3</v>
      </c>
      <c r="S27" s="304" t="s">
        <v>297</v>
      </c>
      <c r="T27" s="304" t="s">
        <v>297</v>
      </c>
      <c r="U27" s="304" t="s">
        <v>297</v>
      </c>
      <c r="V27" s="304" t="s">
        <v>297</v>
      </c>
      <c r="W27" s="304" t="s">
        <v>297</v>
      </c>
      <c r="X27" s="304" t="s">
        <v>297</v>
      </c>
      <c r="Y27" s="304" t="s">
        <v>297</v>
      </c>
      <c r="Z27" s="304" t="s">
        <v>297</v>
      </c>
      <c r="AA27" s="304" t="s">
        <v>297</v>
      </c>
    </row>
    <row r="28" spans="1:27" ht="51" customHeight="1" x14ac:dyDescent="0.25">
      <c r="A28" s="304">
        <f t="shared" si="0"/>
        <v>4</v>
      </c>
      <c r="B28" s="304" t="s">
        <v>297</v>
      </c>
      <c r="C28" s="309" t="s">
        <v>674</v>
      </c>
      <c r="D28" s="304" t="s">
        <v>297</v>
      </c>
      <c r="E28" s="309" t="s">
        <v>674</v>
      </c>
      <c r="F28" s="313" t="s">
        <v>297</v>
      </c>
      <c r="G28" s="313">
        <v>0.4</v>
      </c>
      <c r="H28" s="313" t="s">
        <v>297</v>
      </c>
      <c r="I28" s="313">
        <v>0.4</v>
      </c>
      <c r="J28" s="313">
        <v>2024</v>
      </c>
      <c r="K28" s="313" t="s">
        <v>297</v>
      </c>
      <c r="L28" s="313">
        <v>1</v>
      </c>
      <c r="M28" s="313" t="s">
        <v>297</v>
      </c>
      <c r="N28" s="305" t="s">
        <v>599</v>
      </c>
      <c r="O28" s="313" t="s">
        <v>297</v>
      </c>
      <c r="P28" s="313" t="s">
        <v>600</v>
      </c>
      <c r="Q28" s="313" t="s">
        <v>297</v>
      </c>
      <c r="R28" s="313">
        <v>0.3</v>
      </c>
      <c r="S28" s="304" t="s">
        <v>297</v>
      </c>
      <c r="T28" s="304" t="s">
        <v>297</v>
      </c>
      <c r="U28" s="304" t="s">
        <v>297</v>
      </c>
      <c r="V28" s="304" t="s">
        <v>297</v>
      </c>
      <c r="W28" s="304" t="s">
        <v>297</v>
      </c>
      <c r="X28" s="304" t="s">
        <v>297</v>
      </c>
      <c r="Y28" s="304" t="s">
        <v>297</v>
      </c>
      <c r="Z28" s="304" t="s">
        <v>297</v>
      </c>
      <c r="AA28" s="304" t="s">
        <v>297</v>
      </c>
    </row>
    <row r="29" spans="1:27" ht="31.5" x14ac:dyDescent="0.25">
      <c r="A29" s="304">
        <f t="shared" si="0"/>
        <v>5</v>
      </c>
      <c r="B29" s="304" t="s">
        <v>297</v>
      </c>
      <c r="C29" s="309" t="s">
        <v>675</v>
      </c>
      <c r="D29" s="304" t="s">
        <v>297</v>
      </c>
      <c r="E29" s="309" t="s">
        <v>675</v>
      </c>
      <c r="F29" s="313" t="s">
        <v>297</v>
      </c>
      <c r="G29" s="313">
        <v>0.4</v>
      </c>
      <c r="H29" s="313" t="s">
        <v>297</v>
      </c>
      <c r="I29" s="313">
        <v>0.4</v>
      </c>
      <c r="J29" s="313">
        <v>2024</v>
      </c>
      <c r="K29" s="313" t="s">
        <v>297</v>
      </c>
      <c r="L29" s="313">
        <v>1</v>
      </c>
      <c r="M29" s="313" t="s">
        <v>297</v>
      </c>
      <c r="N29" s="305" t="s">
        <v>599</v>
      </c>
      <c r="O29" s="313" t="s">
        <v>297</v>
      </c>
      <c r="P29" s="313" t="s">
        <v>600</v>
      </c>
      <c r="Q29" s="313" t="s">
        <v>297</v>
      </c>
      <c r="R29" s="313">
        <v>0.15</v>
      </c>
      <c r="S29" s="304" t="s">
        <v>297</v>
      </c>
      <c r="T29" s="304" t="s">
        <v>297</v>
      </c>
      <c r="U29" s="304" t="s">
        <v>297</v>
      </c>
      <c r="V29" s="304" t="s">
        <v>297</v>
      </c>
      <c r="W29" s="304" t="s">
        <v>297</v>
      </c>
      <c r="X29" s="304" t="s">
        <v>297</v>
      </c>
      <c r="Y29" s="304" t="s">
        <v>297</v>
      </c>
      <c r="Z29" s="304" t="s">
        <v>297</v>
      </c>
      <c r="AA29" s="304" t="s">
        <v>297</v>
      </c>
    </row>
    <row r="30" spans="1:27" ht="31.5" x14ac:dyDescent="0.25">
      <c r="A30" s="304">
        <f t="shared" si="0"/>
        <v>6</v>
      </c>
      <c r="B30" s="304" t="s">
        <v>297</v>
      </c>
      <c r="C30" s="309" t="s">
        <v>676</v>
      </c>
      <c r="D30" s="304" t="s">
        <v>297</v>
      </c>
      <c r="E30" s="309" t="s">
        <v>676</v>
      </c>
      <c r="F30" s="313" t="s">
        <v>297</v>
      </c>
      <c r="G30" s="313">
        <v>0.4</v>
      </c>
      <c r="H30" s="313" t="s">
        <v>297</v>
      </c>
      <c r="I30" s="313">
        <v>0.4</v>
      </c>
      <c r="J30" s="313">
        <v>2024</v>
      </c>
      <c r="K30" s="313" t="s">
        <v>297</v>
      </c>
      <c r="L30" s="313">
        <v>1</v>
      </c>
      <c r="M30" s="313" t="s">
        <v>297</v>
      </c>
      <c r="N30" s="305" t="s">
        <v>599</v>
      </c>
      <c r="O30" s="313" t="s">
        <v>297</v>
      </c>
      <c r="P30" s="313" t="s">
        <v>600</v>
      </c>
      <c r="Q30" s="313" t="s">
        <v>297</v>
      </c>
      <c r="R30" s="313">
        <v>0.15</v>
      </c>
      <c r="S30" s="304" t="s">
        <v>297</v>
      </c>
      <c r="T30" s="304" t="s">
        <v>297</v>
      </c>
      <c r="U30" s="304" t="s">
        <v>297</v>
      </c>
      <c r="V30" s="304" t="s">
        <v>297</v>
      </c>
      <c r="W30" s="304" t="s">
        <v>297</v>
      </c>
      <c r="X30" s="304" t="s">
        <v>297</v>
      </c>
      <c r="Y30" s="304" t="s">
        <v>297</v>
      </c>
      <c r="Z30" s="304" t="s">
        <v>297</v>
      </c>
      <c r="AA30" s="304" t="s">
        <v>297</v>
      </c>
    </row>
    <row r="31" spans="1:27" ht="34.5" customHeight="1" x14ac:dyDescent="0.25">
      <c r="A31" s="304">
        <f t="shared" si="0"/>
        <v>7</v>
      </c>
      <c r="B31" s="304" t="s">
        <v>297</v>
      </c>
      <c r="C31" s="306" t="s">
        <v>602</v>
      </c>
      <c r="D31" s="304" t="s">
        <v>297</v>
      </c>
      <c r="E31" s="311" t="s">
        <v>602</v>
      </c>
      <c r="F31" s="313" t="s">
        <v>297</v>
      </c>
      <c r="G31" s="313">
        <v>10</v>
      </c>
      <c r="H31" s="313" t="s">
        <v>297</v>
      </c>
      <c r="I31" s="313">
        <v>10</v>
      </c>
      <c r="J31" s="313">
        <v>2024</v>
      </c>
      <c r="K31" s="313" t="s">
        <v>297</v>
      </c>
      <c r="L31" s="313">
        <v>1</v>
      </c>
      <c r="M31" s="313" t="s">
        <v>297</v>
      </c>
      <c r="N31" s="304" t="s">
        <v>601</v>
      </c>
      <c r="O31" s="313" t="s">
        <v>297</v>
      </c>
      <c r="P31" s="313" t="s">
        <v>600</v>
      </c>
      <c r="Q31" s="313" t="s">
        <v>297</v>
      </c>
      <c r="R31" s="313">
        <v>0.32</v>
      </c>
      <c r="S31" s="304" t="s">
        <v>297</v>
      </c>
      <c r="T31" s="304" t="s">
        <v>297</v>
      </c>
      <c r="U31" s="304" t="s">
        <v>297</v>
      </c>
      <c r="V31" s="304" t="s">
        <v>297</v>
      </c>
      <c r="W31" s="304" t="s">
        <v>297</v>
      </c>
      <c r="X31" s="304" t="s">
        <v>297</v>
      </c>
      <c r="Y31" s="304" t="s">
        <v>297</v>
      </c>
      <c r="Z31" s="304" t="s">
        <v>297</v>
      </c>
      <c r="AA31" s="304" t="s">
        <v>297</v>
      </c>
    </row>
    <row r="32" spans="1:27" ht="34.5" customHeight="1" x14ac:dyDescent="0.25">
      <c r="A32" s="304">
        <f t="shared" si="0"/>
        <v>8</v>
      </c>
      <c r="B32" s="304" t="s">
        <v>297</v>
      </c>
      <c r="C32" s="306" t="s">
        <v>603</v>
      </c>
      <c r="D32" s="304" t="s">
        <v>297</v>
      </c>
      <c r="E32" s="311" t="s">
        <v>603</v>
      </c>
      <c r="F32" s="313" t="s">
        <v>297</v>
      </c>
      <c r="G32" s="313">
        <v>10</v>
      </c>
      <c r="H32" s="313" t="s">
        <v>297</v>
      </c>
      <c r="I32" s="313">
        <v>10</v>
      </c>
      <c r="J32" s="313">
        <v>2024</v>
      </c>
      <c r="K32" s="313" t="s">
        <v>297</v>
      </c>
      <c r="L32" s="313">
        <v>1</v>
      </c>
      <c r="M32" s="313" t="s">
        <v>297</v>
      </c>
      <c r="N32" s="304" t="s">
        <v>601</v>
      </c>
      <c r="O32" s="313" t="s">
        <v>297</v>
      </c>
      <c r="P32" s="313" t="s">
        <v>600</v>
      </c>
      <c r="Q32" s="313" t="s">
        <v>297</v>
      </c>
      <c r="R32" s="313">
        <v>0.32</v>
      </c>
      <c r="S32" s="304" t="s">
        <v>297</v>
      </c>
      <c r="T32" s="304" t="s">
        <v>297</v>
      </c>
      <c r="U32" s="304" t="s">
        <v>297</v>
      </c>
      <c r="V32" s="304" t="s">
        <v>297</v>
      </c>
      <c r="W32" s="304" t="s">
        <v>297</v>
      </c>
      <c r="X32" s="304" t="s">
        <v>297</v>
      </c>
      <c r="Y32" s="304" t="s">
        <v>297</v>
      </c>
      <c r="Z32" s="304" t="s">
        <v>297</v>
      </c>
      <c r="AA32" s="304" t="s">
        <v>297</v>
      </c>
    </row>
    <row r="33" spans="1:27" ht="34.5" customHeight="1" x14ac:dyDescent="0.25">
      <c r="A33" s="304">
        <f t="shared" si="0"/>
        <v>9</v>
      </c>
      <c r="B33" s="304" t="s">
        <v>297</v>
      </c>
      <c r="C33" s="306" t="s">
        <v>605</v>
      </c>
      <c r="D33" s="304" t="s">
        <v>297</v>
      </c>
      <c r="E33" s="311" t="s">
        <v>605</v>
      </c>
      <c r="F33" s="313" t="s">
        <v>297</v>
      </c>
      <c r="G33" s="313">
        <v>10</v>
      </c>
      <c r="H33" s="313" t="s">
        <v>297</v>
      </c>
      <c r="I33" s="313">
        <v>10</v>
      </c>
      <c r="J33" s="313">
        <v>2024</v>
      </c>
      <c r="K33" s="313" t="s">
        <v>297</v>
      </c>
      <c r="L33" s="313">
        <v>1</v>
      </c>
      <c r="M33" s="313" t="s">
        <v>297</v>
      </c>
      <c r="N33" s="304" t="s">
        <v>604</v>
      </c>
      <c r="O33" s="313" t="s">
        <v>297</v>
      </c>
      <c r="P33" s="313" t="s">
        <v>600</v>
      </c>
      <c r="Q33" s="313" t="s">
        <v>297</v>
      </c>
      <c r="R33" s="313">
        <v>0.72</v>
      </c>
      <c r="S33" s="304" t="s">
        <v>297</v>
      </c>
      <c r="T33" s="304" t="s">
        <v>297</v>
      </c>
      <c r="U33" s="304" t="s">
        <v>297</v>
      </c>
      <c r="V33" s="304" t="s">
        <v>297</v>
      </c>
      <c r="W33" s="304" t="s">
        <v>297</v>
      </c>
      <c r="X33" s="304" t="s">
        <v>297</v>
      </c>
      <c r="Y33" s="304" t="s">
        <v>297</v>
      </c>
      <c r="Z33" s="304" t="s">
        <v>297</v>
      </c>
      <c r="AA33" s="304" t="s">
        <v>297</v>
      </c>
    </row>
    <row r="34" spans="1:27" ht="34.5" customHeight="1" x14ac:dyDescent="0.25">
      <c r="A34" s="304">
        <f t="shared" si="0"/>
        <v>10</v>
      </c>
      <c r="B34" s="304" t="s">
        <v>297</v>
      </c>
      <c r="C34" s="306" t="s">
        <v>606</v>
      </c>
      <c r="D34" s="304" t="s">
        <v>297</v>
      </c>
      <c r="E34" s="311" t="s">
        <v>606</v>
      </c>
      <c r="F34" s="319" t="s">
        <v>297</v>
      </c>
      <c r="G34" s="319">
        <v>10</v>
      </c>
      <c r="H34" s="313" t="s">
        <v>297</v>
      </c>
      <c r="I34" s="313">
        <v>10</v>
      </c>
      <c r="J34" s="313">
        <v>2024</v>
      </c>
      <c r="K34" s="313" t="s">
        <v>297</v>
      </c>
      <c r="L34" s="313">
        <v>1</v>
      </c>
      <c r="M34" s="313" t="s">
        <v>297</v>
      </c>
      <c r="N34" s="304" t="s">
        <v>604</v>
      </c>
      <c r="O34" s="313" t="s">
        <v>297</v>
      </c>
      <c r="P34" s="313" t="s">
        <v>600</v>
      </c>
      <c r="Q34" s="313" t="s">
        <v>297</v>
      </c>
      <c r="R34" s="313">
        <v>0.72</v>
      </c>
      <c r="S34" s="304" t="s">
        <v>297</v>
      </c>
      <c r="T34" s="304" t="s">
        <v>297</v>
      </c>
      <c r="U34" s="304" t="s">
        <v>297</v>
      </c>
      <c r="V34" s="304" t="s">
        <v>297</v>
      </c>
      <c r="W34" s="304" t="s">
        <v>297</v>
      </c>
      <c r="X34" s="304" t="s">
        <v>297</v>
      </c>
      <c r="Y34" s="304" t="s">
        <v>297</v>
      </c>
      <c r="Z34" s="304" t="s">
        <v>297</v>
      </c>
      <c r="AA34" s="304" t="s">
        <v>297</v>
      </c>
    </row>
    <row r="35" spans="1:27" ht="43.5" customHeight="1" x14ac:dyDescent="0.25">
      <c r="A35" s="304">
        <f t="shared" si="0"/>
        <v>11</v>
      </c>
      <c r="B35" s="304" t="s">
        <v>297</v>
      </c>
      <c r="C35" s="306" t="s">
        <v>677</v>
      </c>
      <c r="D35" s="310" t="s">
        <v>297</v>
      </c>
      <c r="E35" s="306" t="s">
        <v>677</v>
      </c>
      <c r="F35" s="313" t="s">
        <v>297</v>
      </c>
      <c r="G35" s="313">
        <v>0.4</v>
      </c>
      <c r="H35" s="313" t="s">
        <v>297</v>
      </c>
      <c r="I35" s="313">
        <v>0.4</v>
      </c>
      <c r="J35" s="313">
        <v>2024</v>
      </c>
      <c r="K35" s="313" t="s">
        <v>297</v>
      </c>
      <c r="L35" s="313">
        <v>1</v>
      </c>
      <c r="M35" s="313" t="s">
        <v>297</v>
      </c>
      <c r="N35" s="304" t="s">
        <v>607</v>
      </c>
      <c r="O35" s="313" t="s">
        <v>297</v>
      </c>
      <c r="P35" s="313" t="s">
        <v>600</v>
      </c>
      <c r="Q35" s="313" t="s">
        <v>297</v>
      </c>
      <c r="R35" s="313">
        <v>0.17</v>
      </c>
      <c r="S35" s="304" t="s">
        <v>297</v>
      </c>
      <c r="T35" s="304" t="s">
        <v>297</v>
      </c>
      <c r="U35" s="304" t="s">
        <v>297</v>
      </c>
      <c r="V35" s="304" t="s">
        <v>297</v>
      </c>
      <c r="W35" s="304" t="s">
        <v>297</v>
      </c>
      <c r="X35" s="304" t="s">
        <v>297</v>
      </c>
      <c r="Y35" s="304" t="s">
        <v>297</v>
      </c>
      <c r="Z35" s="304" t="s">
        <v>297</v>
      </c>
      <c r="AA35" s="304" t="s">
        <v>297</v>
      </c>
    </row>
    <row r="36" spans="1:27" ht="31.5" x14ac:dyDescent="0.25">
      <c r="A36" s="304">
        <f t="shared" si="0"/>
        <v>12</v>
      </c>
      <c r="B36" s="304" t="s">
        <v>297</v>
      </c>
      <c r="C36" s="306" t="s">
        <v>678</v>
      </c>
      <c r="D36" s="310" t="s">
        <v>297</v>
      </c>
      <c r="E36" s="306" t="s">
        <v>678</v>
      </c>
      <c r="F36" s="313" t="s">
        <v>297</v>
      </c>
      <c r="G36" s="313">
        <v>0.4</v>
      </c>
      <c r="H36" s="313" t="s">
        <v>297</v>
      </c>
      <c r="I36" s="313">
        <v>0.4</v>
      </c>
      <c r="J36" s="313">
        <v>2024</v>
      </c>
      <c r="K36" s="313" t="s">
        <v>297</v>
      </c>
      <c r="L36" s="313">
        <v>1</v>
      </c>
      <c r="M36" s="313" t="s">
        <v>297</v>
      </c>
      <c r="N36" s="304" t="s">
        <v>607</v>
      </c>
      <c r="O36" s="313" t="s">
        <v>297</v>
      </c>
      <c r="P36" s="313" t="s">
        <v>600</v>
      </c>
      <c r="Q36" s="313" t="s">
        <v>297</v>
      </c>
      <c r="R36" s="313">
        <v>0.17</v>
      </c>
      <c r="S36" s="304" t="s">
        <v>297</v>
      </c>
      <c r="T36" s="304" t="s">
        <v>297</v>
      </c>
      <c r="U36" s="304" t="s">
        <v>297</v>
      </c>
      <c r="V36" s="304" t="s">
        <v>297</v>
      </c>
      <c r="W36" s="304" t="s">
        <v>297</v>
      </c>
      <c r="X36" s="304" t="s">
        <v>297</v>
      </c>
      <c r="Y36" s="304" t="s">
        <v>297</v>
      </c>
      <c r="Z36" s="304" t="s">
        <v>297</v>
      </c>
      <c r="AA36" s="304" t="s">
        <v>297</v>
      </c>
    </row>
    <row r="37" spans="1:27" ht="31.5" x14ac:dyDescent="0.25">
      <c r="A37" s="304">
        <f t="shared" si="0"/>
        <v>13</v>
      </c>
      <c r="B37" s="304" t="s">
        <v>297</v>
      </c>
      <c r="C37" s="306" t="s">
        <v>679</v>
      </c>
      <c r="D37" s="310" t="s">
        <v>297</v>
      </c>
      <c r="E37" s="306" t="s">
        <v>679</v>
      </c>
      <c r="F37" s="313" t="s">
        <v>297</v>
      </c>
      <c r="G37" s="313">
        <v>0.4</v>
      </c>
      <c r="H37" s="313" t="s">
        <v>297</v>
      </c>
      <c r="I37" s="313">
        <v>0.4</v>
      </c>
      <c r="J37" s="313">
        <v>2024</v>
      </c>
      <c r="K37" s="313" t="s">
        <v>297</v>
      </c>
      <c r="L37" s="313">
        <v>1</v>
      </c>
      <c r="M37" s="313" t="s">
        <v>297</v>
      </c>
      <c r="N37" s="304" t="s">
        <v>607</v>
      </c>
      <c r="O37" s="313" t="s">
        <v>297</v>
      </c>
      <c r="P37" s="313" t="s">
        <v>600</v>
      </c>
      <c r="Q37" s="313" t="s">
        <v>297</v>
      </c>
      <c r="R37" s="313">
        <v>0.16</v>
      </c>
      <c r="S37" s="304" t="s">
        <v>297</v>
      </c>
      <c r="T37" s="304" t="s">
        <v>297</v>
      </c>
      <c r="U37" s="304" t="s">
        <v>297</v>
      </c>
      <c r="V37" s="304" t="s">
        <v>297</v>
      </c>
      <c r="W37" s="304" t="s">
        <v>297</v>
      </c>
      <c r="X37" s="304" t="s">
        <v>297</v>
      </c>
      <c r="Y37" s="304" t="s">
        <v>297</v>
      </c>
      <c r="Z37" s="304" t="s">
        <v>297</v>
      </c>
      <c r="AA37" s="304" t="s">
        <v>297</v>
      </c>
    </row>
    <row r="38" spans="1:27" ht="31.5" x14ac:dyDescent="0.25">
      <c r="A38" s="304">
        <f t="shared" si="0"/>
        <v>14</v>
      </c>
      <c r="B38" s="304" t="s">
        <v>297</v>
      </c>
      <c r="C38" s="306" t="s">
        <v>681</v>
      </c>
      <c r="D38" s="310" t="s">
        <v>297</v>
      </c>
      <c r="E38" s="306" t="s">
        <v>681</v>
      </c>
      <c r="F38" s="313" t="s">
        <v>297</v>
      </c>
      <c r="G38" s="313">
        <v>0.4</v>
      </c>
      <c r="H38" s="313" t="s">
        <v>297</v>
      </c>
      <c r="I38" s="313">
        <v>0.4</v>
      </c>
      <c r="J38" s="313">
        <v>2024</v>
      </c>
      <c r="K38" s="313" t="s">
        <v>297</v>
      </c>
      <c r="L38" s="313">
        <v>1</v>
      </c>
      <c r="M38" s="313" t="s">
        <v>297</v>
      </c>
      <c r="N38" s="304" t="s">
        <v>607</v>
      </c>
      <c r="O38" s="313" t="s">
        <v>297</v>
      </c>
      <c r="P38" s="313" t="s">
        <v>600</v>
      </c>
      <c r="Q38" s="313" t="s">
        <v>297</v>
      </c>
      <c r="R38" s="313">
        <v>0.16</v>
      </c>
      <c r="S38" s="304" t="s">
        <v>297</v>
      </c>
      <c r="T38" s="304" t="s">
        <v>297</v>
      </c>
      <c r="U38" s="304" t="s">
        <v>297</v>
      </c>
      <c r="V38" s="304" t="s">
        <v>297</v>
      </c>
      <c r="W38" s="304" t="s">
        <v>297</v>
      </c>
      <c r="X38" s="304" t="s">
        <v>297</v>
      </c>
      <c r="Y38" s="304" t="s">
        <v>297</v>
      </c>
      <c r="Z38" s="304" t="s">
        <v>297</v>
      </c>
      <c r="AA38" s="304" t="s">
        <v>297</v>
      </c>
    </row>
    <row r="39" spans="1:27" ht="31.5" x14ac:dyDescent="0.25">
      <c r="A39" s="304">
        <f t="shared" si="0"/>
        <v>15</v>
      </c>
      <c r="B39" s="304" t="s">
        <v>297</v>
      </c>
      <c r="C39" s="306" t="s">
        <v>682</v>
      </c>
      <c r="D39" s="310" t="s">
        <v>297</v>
      </c>
      <c r="E39" s="306" t="s">
        <v>682</v>
      </c>
      <c r="F39" s="313" t="s">
        <v>297</v>
      </c>
      <c r="G39" s="313">
        <v>0.4</v>
      </c>
      <c r="H39" s="313" t="s">
        <v>297</v>
      </c>
      <c r="I39" s="313">
        <v>0.4</v>
      </c>
      <c r="J39" s="313">
        <v>2024</v>
      </c>
      <c r="K39" s="313" t="s">
        <v>297</v>
      </c>
      <c r="L39" s="313">
        <v>1</v>
      </c>
      <c r="M39" s="313" t="s">
        <v>297</v>
      </c>
      <c r="N39" s="304" t="s">
        <v>608</v>
      </c>
      <c r="O39" s="313" t="s">
        <v>297</v>
      </c>
      <c r="P39" s="313" t="s">
        <v>600</v>
      </c>
      <c r="Q39" s="313" t="s">
        <v>297</v>
      </c>
      <c r="R39" s="313">
        <v>0.11</v>
      </c>
      <c r="S39" s="304" t="s">
        <v>297</v>
      </c>
      <c r="T39" s="304" t="s">
        <v>297</v>
      </c>
      <c r="U39" s="304" t="s">
        <v>297</v>
      </c>
      <c r="V39" s="304" t="s">
        <v>297</v>
      </c>
      <c r="W39" s="304" t="s">
        <v>297</v>
      </c>
      <c r="X39" s="304" t="s">
        <v>297</v>
      </c>
      <c r="Y39" s="304" t="s">
        <v>297</v>
      </c>
      <c r="Z39" s="304" t="s">
        <v>297</v>
      </c>
      <c r="AA39" s="304" t="s">
        <v>297</v>
      </c>
    </row>
    <row r="40" spans="1:27" ht="31.5" x14ac:dyDescent="0.25">
      <c r="A40" s="304">
        <f t="shared" si="0"/>
        <v>16</v>
      </c>
      <c r="B40" s="304" t="s">
        <v>297</v>
      </c>
      <c r="C40" s="306" t="s">
        <v>683</v>
      </c>
      <c r="D40" s="310" t="s">
        <v>297</v>
      </c>
      <c r="E40" s="306" t="s">
        <v>683</v>
      </c>
      <c r="F40" s="313" t="s">
        <v>297</v>
      </c>
      <c r="G40" s="313">
        <v>0.4</v>
      </c>
      <c r="H40" s="313" t="s">
        <v>297</v>
      </c>
      <c r="I40" s="313">
        <v>0.4</v>
      </c>
      <c r="J40" s="313">
        <v>2024</v>
      </c>
      <c r="K40" s="313" t="s">
        <v>297</v>
      </c>
      <c r="L40" s="313">
        <v>1</v>
      </c>
      <c r="M40" s="313" t="s">
        <v>297</v>
      </c>
      <c r="N40" s="304" t="s">
        <v>608</v>
      </c>
      <c r="O40" s="313" t="s">
        <v>297</v>
      </c>
      <c r="P40" s="313" t="s">
        <v>600</v>
      </c>
      <c r="Q40" s="313" t="s">
        <v>297</v>
      </c>
      <c r="R40" s="313">
        <v>0.11</v>
      </c>
      <c r="S40" s="304" t="s">
        <v>297</v>
      </c>
      <c r="T40" s="304" t="s">
        <v>297</v>
      </c>
      <c r="U40" s="304" t="s">
        <v>297</v>
      </c>
      <c r="V40" s="304" t="s">
        <v>297</v>
      </c>
      <c r="W40" s="304" t="s">
        <v>297</v>
      </c>
      <c r="X40" s="304" t="s">
        <v>297</v>
      </c>
      <c r="Y40" s="304" t="s">
        <v>297</v>
      </c>
      <c r="Z40" s="304" t="s">
        <v>297</v>
      </c>
      <c r="AA40" s="304" t="s">
        <v>297</v>
      </c>
    </row>
    <row r="41" spans="1:27" ht="31.5" x14ac:dyDescent="0.25">
      <c r="A41" s="304">
        <f t="shared" si="0"/>
        <v>17</v>
      </c>
      <c r="B41" s="304" t="s">
        <v>297</v>
      </c>
      <c r="C41" s="306" t="s">
        <v>680</v>
      </c>
      <c r="D41" s="310" t="s">
        <v>297</v>
      </c>
      <c r="E41" s="306" t="s">
        <v>680</v>
      </c>
      <c r="F41" s="313" t="s">
        <v>297</v>
      </c>
      <c r="G41" s="313">
        <v>0.4</v>
      </c>
      <c r="H41" s="313" t="s">
        <v>297</v>
      </c>
      <c r="I41" s="313">
        <v>0.4</v>
      </c>
      <c r="J41" s="313">
        <v>2024</v>
      </c>
      <c r="K41" s="313" t="s">
        <v>297</v>
      </c>
      <c r="L41" s="313">
        <v>1</v>
      </c>
      <c r="M41" s="313" t="s">
        <v>297</v>
      </c>
      <c r="N41" s="304" t="s">
        <v>609</v>
      </c>
      <c r="O41" s="313" t="s">
        <v>297</v>
      </c>
      <c r="P41" s="313" t="s">
        <v>600</v>
      </c>
      <c r="Q41" s="313" t="s">
        <v>297</v>
      </c>
      <c r="R41" s="313">
        <v>0.11</v>
      </c>
      <c r="S41" s="304" t="s">
        <v>297</v>
      </c>
      <c r="T41" s="304" t="s">
        <v>297</v>
      </c>
      <c r="U41" s="304" t="s">
        <v>297</v>
      </c>
      <c r="V41" s="304" t="s">
        <v>297</v>
      </c>
      <c r="W41" s="304" t="s">
        <v>297</v>
      </c>
      <c r="X41" s="304" t="s">
        <v>297</v>
      </c>
      <c r="Y41" s="304" t="s">
        <v>297</v>
      </c>
      <c r="Z41" s="304" t="s">
        <v>297</v>
      </c>
      <c r="AA41" s="304" t="s">
        <v>297</v>
      </c>
    </row>
    <row r="42" spans="1:27" ht="31.5" x14ac:dyDescent="0.25">
      <c r="A42" s="304">
        <f t="shared" si="0"/>
        <v>18</v>
      </c>
      <c r="B42" s="304" t="s">
        <v>297</v>
      </c>
      <c r="C42" s="306" t="s">
        <v>684</v>
      </c>
      <c r="D42" s="310" t="s">
        <v>297</v>
      </c>
      <c r="E42" s="306" t="s">
        <v>684</v>
      </c>
      <c r="F42" s="313" t="s">
        <v>297</v>
      </c>
      <c r="G42" s="313">
        <v>0.4</v>
      </c>
      <c r="H42" s="313" t="s">
        <v>297</v>
      </c>
      <c r="I42" s="313">
        <v>0.4</v>
      </c>
      <c r="J42" s="313">
        <v>2024</v>
      </c>
      <c r="K42" s="313" t="s">
        <v>297</v>
      </c>
      <c r="L42" s="313">
        <v>1</v>
      </c>
      <c r="M42" s="313" t="s">
        <v>297</v>
      </c>
      <c r="N42" s="304" t="s">
        <v>609</v>
      </c>
      <c r="O42" s="313" t="s">
        <v>297</v>
      </c>
      <c r="P42" s="313" t="s">
        <v>600</v>
      </c>
      <c r="Q42" s="313" t="s">
        <v>297</v>
      </c>
      <c r="R42" s="313">
        <v>0.11</v>
      </c>
      <c r="S42" s="304" t="s">
        <v>297</v>
      </c>
      <c r="T42" s="304" t="s">
        <v>297</v>
      </c>
      <c r="U42" s="304" t="s">
        <v>297</v>
      </c>
      <c r="V42" s="304" t="s">
        <v>297</v>
      </c>
      <c r="W42" s="304" t="s">
        <v>297</v>
      </c>
      <c r="X42" s="304" t="s">
        <v>297</v>
      </c>
      <c r="Y42" s="304" t="s">
        <v>297</v>
      </c>
      <c r="Z42" s="304" t="s">
        <v>297</v>
      </c>
      <c r="AA42" s="304" t="s">
        <v>297</v>
      </c>
    </row>
    <row r="43" spans="1:27" ht="30" customHeight="1" x14ac:dyDescent="0.25">
      <c r="A43" s="304">
        <f t="shared" si="0"/>
        <v>19</v>
      </c>
      <c r="B43" s="304" t="s">
        <v>297</v>
      </c>
      <c r="C43" s="306" t="s">
        <v>614</v>
      </c>
      <c r="D43" s="304" t="s">
        <v>297</v>
      </c>
      <c r="E43" s="306" t="s">
        <v>614</v>
      </c>
      <c r="F43" s="320" t="s">
        <v>297</v>
      </c>
      <c r="G43" s="313">
        <v>0.4</v>
      </c>
      <c r="H43" s="313" t="s">
        <v>297</v>
      </c>
      <c r="I43" s="313">
        <v>0.4</v>
      </c>
      <c r="J43" s="313">
        <v>2024</v>
      </c>
      <c r="K43" s="313" t="s">
        <v>297</v>
      </c>
      <c r="L43" s="313">
        <v>1</v>
      </c>
      <c r="M43" s="313" t="s">
        <v>297</v>
      </c>
      <c r="N43" s="304" t="s">
        <v>610</v>
      </c>
      <c r="O43" s="313" t="s">
        <v>297</v>
      </c>
      <c r="P43" s="313" t="s">
        <v>611</v>
      </c>
      <c r="Q43" s="313" t="s">
        <v>297</v>
      </c>
      <c r="R43" s="313">
        <v>1.3129999999999999</v>
      </c>
      <c r="S43" s="304" t="s">
        <v>297</v>
      </c>
      <c r="T43" s="304" t="s">
        <v>297</v>
      </c>
      <c r="U43" s="304" t="s">
        <v>297</v>
      </c>
      <c r="V43" s="304" t="s">
        <v>297</v>
      </c>
      <c r="W43" s="304" t="s">
        <v>297</v>
      </c>
      <c r="X43" s="304" t="s">
        <v>297</v>
      </c>
      <c r="Y43" s="304" t="s">
        <v>297</v>
      </c>
      <c r="Z43" s="304" t="s">
        <v>297</v>
      </c>
      <c r="AA43" s="304" t="s">
        <v>297</v>
      </c>
    </row>
    <row r="44" spans="1:27" ht="30" customHeight="1" x14ac:dyDescent="0.25">
      <c r="A44" s="304">
        <f t="shared" si="0"/>
        <v>20</v>
      </c>
      <c r="B44" s="304" t="s">
        <v>297</v>
      </c>
      <c r="C44" s="306" t="s">
        <v>615</v>
      </c>
      <c r="D44" s="304" t="s">
        <v>297</v>
      </c>
      <c r="E44" s="306" t="s">
        <v>615</v>
      </c>
      <c r="F44" s="320" t="s">
        <v>297</v>
      </c>
      <c r="G44" s="313">
        <v>0.4</v>
      </c>
      <c r="H44" s="313" t="s">
        <v>297</v>
      </c>
      <c r="I44" s="313">
        <v>0.4</v>
      </c>
      <c r="J44" s="313">
        <v>2024</v>
      </c>
      <c r="K44" s="313" t="s">
        <v>297</v>
      </c>
      <c r="L44" s="313">
        <v>1</v>
      </c>
      <c r="M44" s="313" t="s">
        <v>297</v>
      </c>
      <c r="N44" s="304" t="s">
        <v>610</v>
      </c>
      <c r="O44" s="313" t="s">
        <v>297</v>
      </c>
      <c r="P44" s="313" t="s">
        <v>611</v>
      </c>
      <c r="Q44" s="313" t="s">
        <v>297</v>
      </c>
      <c r="R44" s="313">
        <v>0.22600000000000001</v>
      </c>
      <c r="S44" s="304" t="s">
        <v>297</v>
      </c>
      <c r="T44" s="304" t="s">
        <v>297</v>
      </c>
      <c r="U44" s="304" t="s">
        <v>297</v>
      </c>
      <c r="V44" s="304" t="s">
        <v>297</v>
      </c>
      <c r="W44" s="304" t="s">
        <v>297</v>
      </c>
      <c r="X44" s="304" t="s">
        <v>297</v>
      </c>
      <c r="Y44" s="304" t="s">
        <v>297</v>
      </c>
      <c r="Z44" s="304" t="s">
        <v>297</v>
      </c>
      <c r="AA44" s="304" t="s">
        <v>297</v>
      </c>
    </row>
    <row r="45" spans="1:27" ht="32.25" customHeight="1" x14ac:dyDescent="0.25">
      <c r="A45" s="367">
        <f>A44+1</f>
        <v>21</v>
      </c>
      <c r="B45" s="367" t="s">
        <v>297</v>
      </c>
      <c r="C45" s="364" t="s">
        <v>616</v>
      </c>
      <c r="D45" s="367" t="s">
        <v>297</v>
      </c>
      <c r="E45" s="364" t="s">
        <v>616</v>
      </c>
      <c r="F45" s="320" t="s">
        <v>297</v>
      </c>
      <c r="G45" s="313">
        <v>0.4</v>
      </c>
      <c r="H45" s="313" t="s">
        <v>297</v>
      </c>
      <c r="I45" s="313">
        <v>0.4</v>
      </c>
      <c r="J45" s="313">
        <v>2024</v>
      </c>
      <c r="K45" s="313" t="s">
        <v>297</v>
      </c>
      <c r="L45" s="313">
        <v>1</v>
      </c>
      <c r="M45" s="313" t="s">
        <v>297</v>
      </c>
      <c r="N45" s="304" t="s">
        <v>612</v>
      </c>
      <c r="O45" s="313" t="s">
        <v>297</v>
      </c>
      <c r="P45" s="313" t="s">
        <v>600</v>
      </c>
      <c r="Q45" s="313" t="s">
        <v>297</v>
      </c>
      <c r="R45" s="313">
        <v>8.5000000000000006E-2</v>
      </c>
      <c r="S45" s="304" t="s">
        <v>297</v>
      </c>
      <c r="T45" s="304" t="s">
        <v>297</v>
      </c>
      <c r="U45" s="304" t="s">
        <v>297</v>
      </c>
      <c r="V45" s="304" t="s">
        <v>297</v>
      </c>
      <c r="W45" s="304" t="s">
        <v>297</v>
      </c>
      <c r="X45" s="304" t="s">
        <v>297</v>
      </c>
      <c r="Y45" s="304" t="s">
        <v>297</v>
      </c>
      <c r="Z45" s="304" t="s">
        <v>297</v>
      </c>
      <c r="AA45" s="304" t="s">
        <v>297</v>
      </c>
    </row>
    <row r="46" spans="1:27" ht="35.25" customHeight="1" x14ac:dyDescent="0.25">
      <c r="A46" s="368"/>
      <c r="B46" s="368"/>
      <c r="C46" s="365"/>
      <c r="D46" s="368"/>
      <c r="E46" s="365"/>
      <c r="F46" s="320" t="s">
        <v>297</v>
      </c>
      <c r="G46" s="313">
        <v>0.4</v>
      </c>
      <c r="H46" s="313" t="s">
        <v>297</v>
      </c>
      <c r="I46" s="313">
        <v>0.4</v>
      </c>
      <c r="J46" s="313">
        <v>2024</v>
      </c>
      <c r="K46" s="313" t="s">
        <v>297</v>
      </c>
      <c r="L46" s="313">
        <v>1</v>
      </c>
      <c r="M46" s="313" t="s">
        <v>297</v>
      </c>
      <c r="N46" s="304" t="s">
        <v>610</v>
      </c>
      <c r="O46" s="313" t="s">
        <v>297</v>
      </c>
      <c r="P46" s="313" t="s">
        <v>611</v>
      </c>
      <c r="Q46" s="313" t="s">
        <v>297</v>
      </c>
      <c r="R46" s="313">
        <v>0.33100000000000002</v>
      </c>
      <c r="S46" s="304" t="s">
        <v>297</v>
      </c>
      <c r="T46" s="304" t="s">
        <v>297</v>
      </c>
      <c r="U46" s="304" t="s">
        <v>297</v>
      </c>
      <c r="V46" s="304" t="s">
        <v>297</v>
      </c>
      <c r="W46" s="304" t="s">
        <v>297</v>
      </c>
      <c r="X46" s="304" t="s">
        <v>297</v>
      </c>
      <c r="Y46" s="304" t="s">
        <v>297</v>
      </c>
      <c r="Z46" s="304" t="s">
        <v>297</v>
      </c>
      <c r="AA46" s="304" t="s">
        <v>297</v>
      </c>
    </row>
    <row r="47" spans="1:27" ht="48.75" customHeight="1" x14ac:dyDescent="0.25">
      <c r="A47" s="369"/>
      <c r="B47" s="369"/>
      <c r="C47" s="366"/>
      <c r="D47" s="369"/>
      <c r="E47" s="366"/>
      <c r="F47" s="320" t="s">
        <v>297</v>
      </c>
      <c r="G47" s="313">
        <v>0.4</v>
      </c>
      <c r="H47" s="313" t="s">
        <v>297</v>
      </c>
      <c r="I47" s="313">
        <v>0.4</v>
      </c>
      <c r="J47" s="313">
        <v>2024</v>
      </c>
      <c r="K47" s="313" t="s">
        <v>297</v>
      </c>
      <c r="L47" s="313">
        <v>1</v>
      </c>
      <c r="M47" s="313" t="s">
        <v>297</v>
      </c>
      <c r="N47" s="304" t="s">
        <v>613</v>
      </c>
      <c r="O47" s="313" t="s">
        <v>297</v>
      </c>
      <c r="P47" s="313" t="s">
        <v>611</v>
      </c>
      <c r="Q47" s="313" t="s">
        <v>297</v>
      </c>
      <c r="R47" s="313">
        <v>0.14299999999999999</v>
      </c>
      <c r="S47" s="304" t="s">
        <v>297</v>
      </c>
      <c r="T47" s="304" t="s">
        <v>297</v>
      </c>
      <c r="U47" s="304" t="s">
        <v>297</v>
      </c>
      <c r="V47" s="304" t="s">
        <v>297</v>
      </c>
      <c r="W47" s="304" t="s">
        <v>297</v>
      </c>
      <c r="X47" s="304" t="s">
        <v>297</v>
      </c>
      <c r="Y47" s="304" t="s">
        <v>297</v>
      </c>
      <c r="Z47" s="304" t="s">
        <v>297</v>
      </c>
      <c r="AA47" s="304" t="s">
        <v>297</v>
      </c>
    </row>
    <row r="48" spans="1:27" ht="32.25" customHeight="1" x14ac:dyDescent="0.25">
      <c r="A48" s="367">
        <f>A45+1</f>
        <v>22</v>
      </c>
      <c r="B48" s="367" t="s">
        <v>297</v>
      </c>
      <c r="C48" s="364" t="s">
        <v>618</v>
      </c>
      <c r="D48" s="367" t="s">
        <v>297</v>
      </c>
      <c r="E48" s="364" t="s">
        <v>618</v>
      </c>
      <c r="F48" s="320" t="s">
        <v>297</v>
      </c>
      <c r="G48" s="313">
        <v>0.4</v>
      </c>
      <c r="H48" s="313" t="s">
        <v>297</v>
      </c>
      <c r="I48" s="313">
        <v>0.4</v>
      </c>
      <c r="J48" s="313">
        <v>2024</v>
      </c>
      <c r="K48" s="313" t="s">
        <v>297</v>
      </c>
      <c r="L48" s="313">
        <v>1</v>
      </c>
      <c r="M48" s="313" t="s">
        <v>297</v>
      </c>
      <c r="N48" s="304" t="s">
        <v>617</v>
      </c>
      <c r="O48" s="313" t="s">
        <v>297</v>
      </c>
      <c r="P48" s="313" t="s">
        <v>611</v>
      </c>
      <c r="Q48" s="313" t="s">
        <v>297</v>
      </c>
      <c r="R48" s="313">
        <v>0.373</v>
      </c>
      <c r="S48" s="304" t="s">
        <v>297</v>
      </c>
      <c r="T48" s="304" t="s">
        <v>297</v>
      </c>
      <c r="U48" s="304" t="s">
        <v>297</v>
      </c>
      <c r="V48" s="304" t="s">
        <v>297</v>
      </c>
      <c r="W48" s="304" t="s">
        <v>297</v>
      </c>
      <c r="X48" s="304" t="s">
        <v>297</v>
      </c>
      <c r="Y48" s="304" t="s">
        <v>297</v>
      </c>
      <c r="Z48" s="304" t="s">
        <v>297</v>
      </c>
      <c r="AA48" s="304" t="s">
        <v>297</v>
      </c>
    </row>
    <row r="49" spans="1:27" ht="33" customHeight="1" x14ac:dyDescent="0.25">
      <c r="A49" s="369"/>
      <c r="B49" s="369"/>
      <c r="C49" s="366"/>
      <c r="D49" s="369"/>
      <c r="E49" s="366"/>
      <c r="F49" s="313" t="s">
        <v>297</v>
      </c>
      <c r="G49" s="313">
        <v>0.4</v>
      </c>
      <c r="H49" s="313" t="s">
        <v>297</v>
      </c>
      <c r="I49" s="313">
        <v>0.4</v>
      </c>
      <c r="J49" s="313">
        <v>2024</v>
      </c>
      <c r="K49" s="313" t="s">
        <v>297</v>
      </c>
      <c r="L49" s="313">
        <v>1</v>
      </c>
      <c r="M49" s="313" t="s">
        <v>297</v>
      </c>
      <c r="N49" s="304" t="s">
        <v>610</v>
      </c>
      <c r="O49" s="313" t="s">
        <v>297</v>
      </c>
      <c r="P49" s="313" t="s">
        <v>611</v>
      </c>
      <c r="Q49" s="313" t="s">
        <v>297</v>
      </c>
      <c r="R49" s="313">
        <v>0.56100000000000005</v>
      </c>
      <c r="S49" s="304" t="s">
        <v>297</v>
      </c>
      <c r="T49" s="304" t="s">
        <v>297</v>
      </c>
      <c r="U49" s="304" t="s">
        <v>297</v>
      </c>
      <c r="V49" s="304" t="s">
        <v>297</v>
      </c>
      <c r="W49" s="304" t="s">
        <v>297</v>
      </c>
      <c r="X49" s="304" t="s">
        <v>297</v>
      </c>
      <c r="Y49" s="304" t="s">
        <v>297</v>
      </c>
      <c r="Z49" s="304" t="s">
        <v>297</v>
      </c>
      <c r="AA49" s="304" t="s">
        <v>297</v>
      </c>
    </row>
    <row r="50" spans="1:27" ht="46.5" customHeight="1" x14ac:dyDescent="0.25">
      <c r="A50" s="304">
        <f>A48+1</f>
        <v>23</v>
      </c>
      <c r="B50" s="304" t="s">
        <v>297</v>
      </c>
      <c r="C50" s="317" t="s">
        <v>620</v>
      </c>
      <c r="D50" s="316" t="s">
        <v>297</v>
      </c>
      <c r="E50" s="316" t="s">
        <v>620</v>
      </c>
      <c r="F50" s="314" t="s">
        <v>297</v>
      </c>
      <c r="G50" s="314">
        <v>15</v>
      </c>
      <c r="H50" s="314" t="s">
        <v>297</v>
      </c>
      <c r="I50" s="314">
        <v>15</v>
      </c>
      <c r="J50" s="314">
        <v>2024</v>
      </c>
      <c r="K50" s="314" t="s">
        <v>297</v>
      </c>
      <c r="L50" s="314">
        <v>1</v>
      </c>
      <c r="M50" s="314" t="s">
        <v>297</v>
      </c>
      <c r="N50" s="25" t="s">
        <v>619</v>
      </c>
      <c r="O50" s="314" t="s">
        <v>297</v>
      </c>
      <c r="P50" s="314" t="s">
        <v>611</v>
      </c>
      <c r="Q50" s="314" t="s">
        <v>297</v>
      </c>
      <c r="R50" s="314">
        <v>1.06</v>
      </c>
      <c r="S50" s="304" t="s">
        <v>297</v>
      </c>
      <c r="T50" s="304" t="s">
        <v>297</v>
      </c>
      <c r="U50" s="304" t="s">
        <v>297</v>
      </c>
      <c r="V50" s="304" t="s">
        <v>297</v>
      </c>
      <c r="W50" s="311" t="s">
        <v>622</v>
      </c>
      <c r="X50" s="304" t="s">
        <v>297</v>
      </c>
      <c r="Y50" s="304" t="s">
        <v>297</v>
      </c>
      <c r="Z50" s="304" t="s">
        <v>297</v>
      </c>
      <c r="AA50" s="304" t="s">
        <v>297</v>
      </c>
    </row>
    <row r="51" spans="1:27" ht="36" customHeight="1" x14ac:dyDescent="0.25">
      <c r="A51" s="367">
        <f>A50+1</f>
        <v>24</v>
      </c>
      <c r="B51" s="367" t="s">
        <v>297</v>
      </c>
      <c r="C51" s="372" t="s">
        <v>628</v>
      </c>
      <c r="D51" s="374" t="s">
        <v>297</v>
      </c>
      <c r="E51" s="373" t="s">
        <v>623</v>
      </c>
      <c r="F51" s="371" t="s">
        <v>297</v>
      </c>
      <c r="G51" s="371">
        <v>0.4</v>
      </c>
      <c r="H51" s="375" t="s">
        <v>297</v>
      </c>
      <c r="I51" s="371">
        <v>0.4</v>
      </c>
      <c r="J51" s="371">
        <v>2024</v>
      </c>
      <c r="K51" s="313" t="s">
        <v>297</v>
      </c>
      <c r="L51" s="313">
        <v>1</v>
      </c>
      <c r="M51" s="313" t="s">
        <v>297</v>
      </c>
      <c r="N51" s="304" t="s">
        <v>624</v>
      </c>
      <c r="O51" s="314" t="s">
        <v>297</v>
      </c>
      <c r="P51" s="313" t="s">
        <v>625</v>
      </c>
      <c r="Q51" s="313" t="s">
        <v>297</v>
      </c>
      <c r="R51" s="313">
        <v>0.12</v>
      </c>
      <c r="S51" s="304" t="s">
        <v>297</v>
      </c>
      <c r="T51" s="304" t="s">
        <v>297</v>
      </c>
      <c r="U51" s="304" t="s">
        <v>297</v>
      </c>
      <c r="V51" s="304" t="s">
        <v>297</v>
      </c>
      <c r="W51" s="370" t="s">
        <v>627</v>
      </c>
      <c r="X51" s="304" t="s">
        <v>297</v>
      </c>
      <c r="Y51" s="304" t="s">
        <v>297</v>
      </c>
      <c r="Z51" s="304" t="s">
        <v>297</v>
      </c>
      <c r="AA51" s="304" t="s">
        <v>297</v>
      </c>
    </row>
    <row r="52" spans="1:27" ht="38.25" customHeight="1" x14ac:dyDescent="0.25">
      <c r="A52" s="369"/>
      <c r="B52" s="369"/>
      <c r="C52" s="372"/>
      <c r="D52" s="374"/>
      <c r="E52" s="373"/>
      <c r="F52" s="371"/>
      <c r="G52" s="371"/>
      <c r="H52" s="376"/>
      <c r="I52" s="371"/>
      <c r="J52" s="371"/>
      <c r="K52" s="313" t="s">
        <v>297</v>
      </c>
      <c r="L52" s="313">
        <v>1</v>
      </c>
      <c r="M52" s="313" t="s">
        <v>297</v>
      </c>
      <c r="N52" s="304" t="s">
        <v>626</v>
      </c>
      <c r="O52" s="314" t="s">
        <v>297</v>
      </c>
      <c r="P52" s="313" t="s">
        <v>611</v>
      </c>
      <c r="Q52" s="313" t="s">
        <v>297</v>
      </c>
      <c r="R52" s="313">
        <v>0.7</v>
      </c>
      <c r="S52" s="304" t="s">
        <v>297</v>
      </c>
      <c r="T52" s="304" t="s">
        <v>297</v>
      </c>
      <c r="U52" s="304" t="s">
        <v>297</v>
      </c>
      <c r="V52" s="304" t="s">
        <v>297</v>
      </c>
      <c r="W52" s="370"/>
      <c r="X52" s="304" t="s">
        <v>297</v>
      </c>
      <c r="Y52" s="304" t="s">
        <v>297</v>
      </c>
      <c r="Z52" s="304" t="s">
        <v>297</v>
      </c>
      <c r="AA52" s="304" t="s">
        <v>297</v>
      </c>
    </row>
    <row r="53" spans="1:27" ht="39.75" customHeight="1" x14ac:dyDescent="0.25">
      <c r="A53" s="367">
        <f>A51+1</f>
        <v>25</v>
      </c>
      <c r="B53" s="375" t="s">
        <v>297</v>
      </c>
      <c r="C53" s="364" t="s">
        <v>631</v>
      </c>
      <c r="D53" s="374" t="s">
        <v>297</v>
      </c>
      <c r="E53" s="373" t="s">
        <v>630</v>
      </c>
      <c r="F53" s="371" t="s">
        <v>297</v>
      </c>
      <c r="G53" s="371">
        <v>0.4</v>
      </c>
      <c r="H53" s="315" t="s">
        <v>297</v>
      </c>
      <c r="I53" s="371">
        <v>0.4</v>
      </c>
      <c r="J53" s="371">
        <v>2024</v>
      </c>
      <c r="K53" s="313" t="s">
        <v>297</v>
      </c>
      <c r="L53" s="313">
        <v>1</v>
      </c>
      <c r="M53" s="313" t="s">
        <v>297</v>
      </c>
      <c r="N53" s="304" t="s">
        <v>624</v>
      </c>
      <c r="O53" s="314" t="s">
        <v>297</v>
      </c>
      <c r="P53" s="313" t="s">
        <v>625</v>
      </c>
      <c r="Q53" s="313" t="s">
        <v>297</v>
      </c>
      <c r="R53" s="313">
        <v>0.09</v>
      </c>
      <c r="S53" s="304" t="s">
        <v>297</v>
      </c>
      <c r="T53" s="304" t="s">
        <v>297</v>
      </c>
      <c r="U53" s="304" t="s">
        <v>297</v>
      </c>
      <c r="V53" s="304" t="s">
        <v>297</v>
      </c>
      <c r="W53" s="370" t="s">
        <v>629</v>
      </c>
      <c r="X53" s="304" t="s">
        <v>297</v>
      </c>
      <c r="Y53" s="304" t="s">
        <v>297</v>
      </c>
      <c r="Z53" s="304" t="s">
        <v>297</v>
      </c>
      <c r="AA53" s="304" t="s">
        <v>297</v>
      </c>
    </row>
    <row r="54" spans="1:27" ht="35.25" customHeight="1" x14ac:dyDescent="0.25">
      <c r="A54" s="369"/>
      <c r="B54" s="376"/>
      <c r="C54" s="366"/>
      <c r="D54" s="374" t="s">
        <v>297</v>
      </c>
      <c r="E54" s="373"/>
      <c r="F54" s="371"/>
      <c r="G54" s="371"/>
      <c r="H54" s="313" t="s">
        <v>297</v>
      </c>
      <c r="I54" s="371"/>
      <c r="J54" s="371"/>
      <c r="K54" s="313" t="s">
        <v>297</v>
      </c>
      <c r="L54" s="313">
        <v>1</v>
      </c>
      <c r="M54" s="313" t="s">
        <v>297</v>
      </c>
      <c r="N54" s="304" t="s">
        <v>626</v>
      </c>
      <c r="O54" s="314" t="s">
        <v>297</v>
      </c>
      <c r="P54" s="313" t="s">
        <v>611</v>
      </c>
      <c r="Q54" s="313" t="s">
        <v>297</v>
      </c>
      <c r="R54" s="313">
        <v>0.7</v>
      </c>
      <c r="S54" s="304" t="s">
        <v>297</v>
      </c>
      <c r="T54" s="304" t="s">
        <v>297</v>
      </c>
      <c r="U54" s="304" t="s">
        <v>297</v>
      </c>
      <c r="V54" s="304" t="s">
        <v>297</v>
      </c>
      <c r="W54" s="370"/>
      <c r="X54" s="304" t="s">
        <v>297</v>
      </c>
      <c r="Y54" s="304" t="s">
        <v>297</v>
      </c>
      <c r="Z54" s="304" t="s">
        <v>297</v>
      </c>
      <c r="AA54" s="304" t="s">
        <v>297</v>
      </c>
    </row>
    <row r="55" spans="1:27" ht="36" customHeight="1" x14ac:dyDescent="0.25">
      <c r="A55" s="367">
        <f>A53+1</f>
        <v>26</v>
      </c>
      <c r="B55" s="375"/>
      <c r="C55" s="364" t="s">
        <v>632</v>
      </c>
      <c r="D55" s="374" t="s">
        <v>297</v>
      </c>
      <c r="E55" s="373" t="s">
        <v>632</v>
      </c>
      <c r="F55" s="371" t="s">
        <v>297</v>
      </c>
      <c r="G55" s="371">
        <v>0.4</v>
      </c>
      <c r="H55" s="315" t="s">
        <v>297</v>
      </c>
      <c r="I55" s="371">
        <v>0.4</v>
      </c>
      <c r="J55" s="371">
        <v>2024</v>
      </c>
      <c r="K55" s="313" t="s">
        <v>297</v>
      </c>
      <c r="L55" s="313">
        <v>1</v>
      </c>
      <c r="M55" s="313" t="s">
        <v>297</v>
      </c>
      <c r="N55" s="304" t="s">
        <v>624</v>
      </c>
      <c r="O55" s="313" t="s">
        <v>297</v>
      </c>
      <c r="P55" s="313" t="s">
        <v>625</v>
      </c>
      <c r="Q55" s="313" t="s">
        <v>297</v>
      </c>
      <c r="R55" s="313">
        <v>0.03</v>
      </c>
      <c r="S55" s="304" t="s">
        <v>297</v>
      </c>
      <c r="T55" s="304" t="s">
        <v>297</v>
      </c>
      <c r="U55" s="304" t="s">
        <v>297</v>
      </c>
      <c r="V55" s="304" t="s">
        <v>297</v>
      </c>
      <c r="W55" s="370" t="s">
        <v>629</v>
      </c>
      <c r="X55" s="304" t="s">
        <v>297</v>
      </c>
      <c r="Y55" s="304" t="s">
        <v>297</v>
      </c>
      <c r="Z55" s="304" t="s">
        <v>297</v>
      </c>
      <c r="AA55" s="304" t="s">
        <v>297</v>
      </c>
    </row>
    <row r="56" spans="1:27" ht="32.25" customHeight="1" x14ac:dyDescent="0.25">
      <c r="A56" s="369"/>
      <c r="B56" s="376"/>
      <c r="C56" s="366"/>
      <c r="D56" s="374" t="s">
        <v>297</v>
      </c>
      <c r="E56" s="373"/>
      <c r="F56" s="371"/>
      <c r="G56" s="371"/>
      <c r="H56" s="313" t="s">
        <v>297</v>
      </c>
      <c r="I56" s="371"/>
      <c r="J56" s="371"/>
      <c r="K56" s="313" t="s">
        <v>297</v>
      </c>
      <c r="L56" s="313">
        <v>1</v>
      </c>
      <c r="M56" s="313" t="s">
        <v>297</v>
      </c>
      <c r="N56" s="304" t="s">
        <v>626</v>
      </c>
      <c r="O56" s="313" t="s">
        <v>297</v>
      </c>
      <c r="P56" s="313" t="s">
        <v>611</v>
      </c>
      <c r="Q56" s="313" t="s">
        <v>297</v>
      </c>
      <c r="R56" s="313">
        <v>0.7</v>
      </c>
      <c r="S56" s="304" t="s">
        <v>297</v>
      </c>
      <c r="T56" s="304" t="s">
        <v>297</v>
      </c>
      <c r="U56" s="304" t="s">
        <v>297</v>
      </c>
      <c r="V56" s="304" t="s">
        <v>297</v>
      </c>
      <c r="W56" s="370"/>
      <c r="X56" s="304" t="s">
        <v>297</v>
      </c>
      <c r="Y56" s="304" t="s">
        <v>297</v>
      </c>
      <c r="Z56" s="304" t="s">
        <v>297</v>
      </c>
      <c r="AA56" s="304" t="s">
        <v>297</v>
      </c>
    </row>
    <row r="57" spans="1:27" ht="29.25" customHeight="1" x14ac:dyDescent="0.25">
      <c r="A57" s="367">
        <f>A55+1</f>
        <v>27</v>
      </c>
      <c r="B57" s="314"/>
      <c r="C57" s="373" t="s">
        <v>633</v>
      </c>
      <c r="D57" s="374" t="s">
        <v>297</v>
      </c>
      <c r="E57" s="373" t="s">
        <v>633</v>
      </c>
      <c r="F57" s="371" t="s">
        <v>297</v>
      </c>
      <c r="G57" s="371">
        <v>0.4</v>
      </c>
      <c r="H57" s="371" t="s">
        <v>297</v>
      </c>
      <c r="I57" s="371">
        <v>0.4</v>
      </c>
      <c r="J57" s="371">
        <v>2024</v>
      </c>
      <c r="K57" s="313" t="s">
        <v>297</v>
      </c>
      <c r="L57" s="313">
        <v>1</v>
      </c>
      <c r="M57" s="313" t="s">
        <v>297</v>
      </c>
      <c r="N57" s="304" t="s">
        <v>624</v>
      </c>
      <c r="O57" s="313" t="s">
        <v>297</v>
      </c>
      <c r="P57" s="313" t="s">
        <v>625</v>
      </c>
      <c r="Q57" s="313" t="s">
        <v>297</v>
      </c>
      <c r="R57" s="313">
        <v>0.11</v>
      </c>
      <c r="S57" s="304" t="s">
        <v>297</v>
      </c>
      <c r="T57" s="304" t="s">
        <v>297</v>
      </c>
      <c r="U57" s="304" t="s">
        <v>297</v>
      </c>
      <c r="V57" s="304" t="s">
        <v>297</v>
      </c>
      <c r="W57" s="370" t="s">
        <v>634</v>
      </c>
      <c r="X57" s="304" t="s">
        <v>297</v>
      </c>
      <c r="Y57" s="304" t="s">
        <v>297</v>
      </c>
      <c r="Z57" s="304" t="s">
        <v>297</v>
      </c>
      <c r="AA57" s="304" t="s">
        <v>297</v>
      </c>
    </row>
    <row r="58" spans="1:27" ht="29.25" customHeight="1" x14ac:dyDescent="0.25">
      <c r="A58" s="369"/>
      <c r="B58" s="315"/>
      <c r="C58" s="373"/>
      <c r="D58" s="374" t="s">
        <v>297</v>
      </c>
      <c r="E58" s="373"/>
      <c r="F58" s="371"/>
      <c r="G58" s="371"/>
      <c r="H58" s="371" t="s">
        <v>297</v>
      </c>
      <c r="I58" s="371"/>
      <c r="J58" s="371"/>
      <c r="K58" s="313" t="s">
        <v>297</v>
      </c>
      <c r="L58" s="313">
        <v>1</v>
      </c>
      <c r="M58" s="313" t="s">
        <v>297</v>
      </c>
      <c r="N58" s="304" t="s">
        <v>626</v>
      </c>
      <c r="O58" s="313" t="s">
        <v>297</v>
      </c>
      <c r="P58" s="313" t="s">
        <v>611</v>
      </c>
      <c r="Q58" s="313" t="s">
        <v>297</v>
      </c>
      <c r="R58" s="313">
        <v>0.67</v>
      </c>
      <c r="S58" s="304" t="s">
        <v>297</v>
      </c>
      <c r="T58" s="304" t="s">
        <v>297</v>
      </c>
      <c r="U58" s="304" t="s">
        <v>297</v>
      </c>
      <c r="V58" s="304" t="s">
        <v>297</v>
      </c>
      <c r="W58" s="370"/>
      <c r="X58" s="304" t="s">
        <v>297</v>
      </c>
      <c r="Y58" s="304" t="s">
        <v>297</v>
      </c>
      <c r="Z58" s="304" t="s">
        <v>297</v>
      </c>
      <c r="AA58" s="304" t="s">
        <v>297</v>
      </c>
    </row>
    <row r="59" spans="1:27" ht="31.5" x14ac:dyDescent="0.25">
      <c r="A59" s="304">
        <f>A57+1</f>
        <v>28</v>
      </c>
      <c r="B59" s="308"/>
      <c r="C59" s="318" t="s">
        <v>621</v>
      </c>
      <c r="D59" s="308" t="s">
        <v>297</v>
      </c>
      <c r="E59" s="312" t="s">
        <v>621</v>
      </c>
      <c r="F59" s="313" t="s">
        <v>297</v>
      </c>
      <c r="G59" s="313">
        <v>15</v>
      </c>
      <c r="H59" s="313" t="s">
        <v>297</v>
      </c>
      <c r="I59" s="313">
        <v>15</v>
      </c>
      <c r="J59" s="313">
        <v>2024</v>
      </c>
      <c r="K59" s="320" t="s">
        <v>297</v>
      </c>
      <c r="L59" s="313">
        <v>1</v>
      </c>
      <c r="M59" s="313" t="s">
        <v>297</v>
      </c>
      <c r="N59" s="304" t="s">
        <v>635</v>
      </c>
      <c r="O59" s="313" t="s">
        <v>297</v>
      </c>
      <c r="P59" s="313" t="s">
        <v>611</v>
      </c>
      <c r="Q59" s="313" t="s">
        <v>297</v>
      </c>
      <c r="R59" s="313">
        <v>0.2</v>
      </c>
      <c r="S59" s="304" t="s">
        <v>297</v>
      </c>
      <c r="T59" s="304" t="s">
        <v>297</v>
      </c>
      <c r="U59" s="304" t="s">
        <v>297</v>
      </c>
      <c r="V59" s="304" t="s">
        <v>297</v>
      </c>
      <c r="W59" s="305" t="s">
        <v>636</v>
      </c>
      <c r="X59" s="304" t="s">
        <v>297</v>
      </c>
      <c r="Y59" s="304" t="s">
        <v>297</v>
      </c>
      <c r="Z59" s="304" t="s">
        <v>297</v>
      </c>
      <c r="AA59" s="304" t="s">
        <v>297</v>
      </c>
    </row>
    <row r="60" spans="1:27" ht="37.5" customHeight="1" x14ac:dyDescent="0.25">
      <c r="A60" s="304">
        <f t="shared" si="0"/>
        <v>29</v>
      </c>
      <c r="B60" s="304"/>
      <c r="C60" s="306" t="s">
        <v>637</v>
      </c>
      <c r="D60" s="304" t="s">
        <v>297</v>
      </c>
      <c r="E60" s="312" t="s">
        <v>637</v>
      </c>
      <c r="F60" s="313" t="s">
        <v>297</v>
      </c>
      <c r="G60" s="313">
        <v>0.4</v>
      </c>
      <c r="H60" s="313" t="s">
        <v>297</v>
      </c>
      <c r="I60" s="313">
        <v>0.4</v>
      </c>
      <c r="J60" s="313">
        <v>2024</v>
      </c>
      <c r="K60" s="320" t="s">
        <v>297</v>
      </c>
      <c r="L60" s="313">
        <v>1</v>
      </c>
      <c r="M60" s="313" t="s">
        <v>297</v>
      </c>
      <c r="N60" s="304" t="s">
        <v>638</v>
      </c>
      <c r="O60" s="313" t="s">
        <v>297</v>
      </c>
      <c r="P60" s="313" t="s">
        <v>625</v>
      </c>
      <c r="Q60" s="313" t="s">
        <v>297</v>
      </c>
      <c r="R60" s="313">
        <v>0.56000000000000005</v>
      </c>
      <c r="S60" s="304" t="s">
        <v>297</v>
      </c>
      <c r="T60" s="304" t="s">
        <v>297</v>
      </c>
      <c r="U60" s="304" t="s">
        <v>297</v>
      </c>
      <c r="V60" s="304" t="s">
        <v>297</v>
      </c>
      <c r="W60" s="304" t="s">
        <v>640</v>
      </c>
      <c r="X60" s="304" t="s">
        <v>297</v>
      </c>
      <c r="Y60" s="304" t="s">
        <v>297</v>
      </c>
      <c r="Z60" s="304" t="s">
        <v>297</v>
      </c>
      <c r="AA60" s="304" t="s">
        <v>297</v>
      </c>
    </row>
    <row r="61" spans="1:27" ht="31.5" x14ac:dyDescent="0.25">
      <c r="A61" s="304">
        <f t="shared" si="0"/>
        <v>30</v>
      </c>
      <c r="B61" s="304"/>
      <c r="C61" s="306" t="s">
        <v>639</v>
      </c>
      <c r="D61" s="304" t="s">
        <v>297</v>
      </c>
      <c r="E61" s="312" t="s">
        <v>639</v>
      </c>
      <c r="F61" s="313" t="s">
        <v>297</v>
      </c>
      <c r="G61" s="313">
        <v>0.4</v>
      </c>
      <c r="H61" s="313" t="s">
        <v>297</v>
      </c>
      <c r="I61" s="313">
        <v>0.4</v>
      </c>
      <c r="J61" s="313">
        <v>2024</v>
      </c>
      <c r="K61" s="320" t="s">
        <v>297</v>
      </c>
      <c r="L61" s="313">
        <v>1</v>
      </c>
      <c r="M61" s="313" t="s">
        <v>297</v>
      </c>
      <c r="N61" s="304" t="s">
        <v>638</v>
      </c>
      <c r="O61" s="313" t="s">
        <v>297</v>
      </c>
      <c r="P61" s="313" t="s">
        <v>625</v>
      </c>
      <c r="Q61" s="313" t="s">
        <v>297</v>
      </c>
      <c r="R61" s="313">
        <v>0.48</v>
      </c>
      <c r="S61" s="304" t="s">
        <v>297</v>
      </c>
      <c r="T61" s="304" t="s">
        <v>297</v>
      </c>
      <c r="U61" s="304" t="s">
        <v>297</v>
      </c>
      <c r="V61" s="304" t="s">
        <v>297</v>
      </c>
      <c r="W61" s="305" t="s">
        <v>640</v>
      </c>
      <c r="X61" s="304" t="s">
        <v>297</v>
      </c>
      <c r="Y61" s="304" t="s">
        <v>297</v>
      </c>
      <c r="Z61" s="304" t="s">
        <v>297</v>
      </c>
      <c r="AA61" s="304" t="s">
        <v>297</v>
      </c>
    </row>
    <row r="62" spans="1:27" ht="31.5" x14ac:dyDescent="0.25">
      <c r="A62" s="304">
        <f t="shared" si="0"/>
        <v>31</v>
      </c>
      <c r="B62" s="304"/>
      <c r="C62" s="306" t="s">
        <v>641</v>
      </c>
      <c r="D62" s="304" t="s">
        <v>297</v>
      </c>
      <c r="E62" s="304" t="s">
        <v>641</v>
      </c>
      <c r="F62" s="313" t="s">
        <v>297</v>
      </c>
      <c r="G62" s="313">
        <v>0.4</v>
      </c>
      <c r="H62" s="313" t="s">
        <v>297</v>
      </c>
      <c r="I62" s="313">
        <v>0.4</v>
      </c>
      <c r="J62" s="313">
        <v>2024</v>
      </c>
      <c r="K62" s="313" t="s">
        <v>297</v>
      </c>
      <c r="L62" s="313">
        <v>1</v>
      </c>
      <c r="M62" s="323" t="s">
        <v>297</v>
      </c>
      <c r="N62" s="304" t="s">
        <v>646</v>
      </c>
      <c r="O62" s="320" t="s">
        <v>297</v>
      </c>
      <c r="P62" s="313" t="s">
        <v>625</v>
      </c>
      <c r="Q62" s="313" t="s">
        <v>297</v>
      </c>
      <c r="R62" s="313">
        <v>0.42</v>
      </c>
      <c r="S62" s="304" t="s">
        <v>297</v>
      </c>
      <c r="T62" s="304" t="s">
        <v>297</v>
      </c>
      <c r="U62" s="304" t="s">
        <v>297</v>
      </c>
      <c r="V62" s="304" t="s">
        <v>297</v>
      </c>
      <c r="W62" s="305" t="s">
        <v>640</v>
      </c>
      <c r="X62" s="304" t="s">
        <v>297</v>
      </c>
      <c r="Y62" s="304" t="s">
        <v>297</v>
      </c>
      <c r="Z62" s="304" t="s">
        <v>297</v>
      </c>
      <c r="AA62" s="304" t="s">
        <v>297</v>
      </c>
    </row>
    <row r="63" spans="1:27" ht="31.5" x14ac:dyDescent="0.25">
      <c r="A63" s="304">
        <f t="shared" si="0"/>
        <v>32</v>
      </c>
      <c r="B63" s="304"/>
      <c r="C63" s="306" t="s">
        <v>642</v>
      </c>
      <c r="D63" s="304" t="s">
        <v>297</v>
      </c>
      <c r="E63" s="304" t="s">
        <v>642</v>
      </c>
      <c r="F63" s="313" t="s">
        <v>297</v>
      </c>
      <c r="G63" s="313">
        <v>0.4</v>
      </c>
      <c r="H63" s="313" t="s">
        <v>297</v>
      </c>
      <c r="I63" s="313">
        <v>0.4</v>
      </c>
      <c r="J63" s="313">
        <v>2024</v>
      </c>
      <c r="K63" s="313" t="s">
        <v>297</v>
      </c>
      <c r="L63" s="313">
        <v>1</v>
      </c>
      <c r="M63" s="323" t="s">
        <v>297</v>
      </c>
      <c r="N63" s="304" t="s">
        <v>646</v>
      </c>
      <c r="O63" s="320" t="s">
        <v>297</v>
      </c>
      <c r="P63" s="313" t="s">
        <v>625</v>
      </c>
      <c r="Q63" s="313" t="s">
        <v>297</v>
      </c>
      <c r="R63" s="313">
        <v>0.36</v>
      </c>
      <c r="S63" s="304" t="s">
        <v>297</v>
      </c>
      <c r="T63" s="304" t="s">
        <v>297</v>
      </c>
      <c r="U63" s="304" t="s">
        <v>297</v>
      </c>
      <c r="V63" s="304" t="s">
        <v>297</v>
      </c>
      <c r="W63" s="305" t="s">
        <v>640</v>
      </c>
      <c r="X63" s="304" t="s">
        <v>297</v>
      </c>
      <c r="Y63" s="304" t="s">
        <v>297</v>
      </c>
      <c r="Z63" s="304" t="s">
        <v>297</v>
      </c>
      <c r="AA63" s="304" t="s">
        <v>297</v>
      </c>
    </row>
    <row r="64" spans="1:27" ht="31.5" x14ac:dyDescent="0.25">
      <c r="A64" s="304">
        <f t="shared" si="0"/>
        <v>33</v>
      </c>
      <c r="B64" s="304"/>
      <c r="C64" s="306" t="s">
        <v>643</v>
      </c>
      <c r="D64" s="304" t="s">
        <v>297</v>
      </c>
      <c r="E64" s="304" t="s">
        <v>643</v>
      </c>
      <c r="F64" s="313" t="s">
        <v>297</v>
      </c>
      <c r="G64" s="313">
        <v>0.4</v>
      </c>
      <c r="H64" s="313" t="s">
        <v>297</v>
      </c>
      <c r="I64" s="313">
        <v>0.4</v>
      </c>
      <c r="J64" s="313">
        <v>2024</v>
      </c>
      <c r="K64" s="313" t="s">
        <v>297</v>
      </c>
      <c r="L64" s="313">
        <v>1</v>
      </c>
      <c r="M64" s="323" t="s">
        <v>297</v>
      </c>
      <c r="N64" s="304" t="s">
        <v>646</v>
      </c>
      <c r="O64" s="320" t="s">
        <v>297</v>
      </c>
      <c r="P64" s="313" t="s">
        <v>625</v>
      </c>
      <c r="Q64" s="313" t="s">
        <v>297</v>
      </c>
      <c r="R64" s="313">
        <v>0.27</v>
      </c>
      <c r="S64" s="304" t="s">
        <v>297</v>
      </c>
      <c r="T64" s="304" t="s">
        <v>297</v>
      </c>
      <c r="U64" s="304" t="s">
        <v>297</v>
      </c>
      <c r="V64" s="304" t="s">
        <v>297</v>
      </c>
      <c r="W64" s="305" t="s">
        <v>640</v>
      </c>
      <c r="X64" s="304" t="s">
        <v>297</v>
      </c>
      <c r="Y64" s="304" t="s">
        <v>297</v>
      </c>
      <c r="Z64" s="304" t="s">
        <v>297</v>
      </c>
      <c r="AA64" s="304" t="s">
        <v>297</v>
      </c>
    </row>
    <row r="65" spans="1:27" ht="31.5" x14ac:dyDescent="0.25">
      <c r="A65" s="304">
        <f t="shared" si="0"/>
        <v>34</v>
      </c>
      <c r="B65" s="304"/>
      <c r="C65" s="306" t="s">
        <v>644</v>
      </c>
      <c r="D65" s="304" t="s">
        <v>297</v>
      </c>
      <c r="E65" s="304" t="s">
        <v>644</v>
      </c>
      <c r="F65" s="313" t="s">
        <v>297</v>
      </c>
      <c r="G65" s="313">
        <v>0.4</v>
      </c>
      <c r="H65" s="313" t="s">
        <v>297</v>
      </c>
      <c r="I65" s="313">
        <v>0.4</v>
      </c>
      <c r="J65" s="313">
        <v>2024</v>
      </c>
      <c r="K65" s="313" t="s">
        <v>297</v>
      </c>
      <c r="L65" s="313">
        <v>1</v>
      </c>
      <c r="M65" s="323" t="s">
        <v>297</v>
      </c>
      <c r="N65" s="304" t="s">
        <v>646</v>
      </c>
      <c r="O65" s="320" t="s">
        <v>297</v>
      </c>
      <c r="P65" s="313" t="s">
        <v>625</v>
      </c>
      <c r="Q65" s="313" t="s">
        <v>297</v>
      </c>
      <c r="R65" s="313">
        <v>0.18</v>
      </c>
      <c r="S65" s="304" t="s">
        <v>297</v>
      </c>
      <c r="T65" s="304" t="s">
        <v>297</v>
      </c>
      <c r="U65" s="304" t="s">
        <v>297</v>
      </c>
      <c r="V65" s="304" t="s">
        <v>297</v>
      </c>
      <c r="W65" s="305" t="s">
        <v>640</v>
      </c>
      <c r="X65" s="304" t="s">
        <v>297</v>
      </c>
      <c r="Y65" s="304" t="s">
        <v>297</v>
      </c>
      <c r="Z65" s="304" t="s">
        <v>297</v>
      </c>
      <c r="AA65" s="304" t="s">
        <v>297</v>
      </c>
    </row>
    <row r="66" spans="1:27" ht="72.75" customHeight="1" x14ac:dyDescent="0.25">
      <c r="A66" s="304">
        <f t="shared" si="0"/>
        <v>35</v>
      </c>
      <c r="B66" s="304"/>
      <c r="C66" s="322" t="s">
        <v>651</v>
      </c>
      <c r="D66" s="304" t="s">
        <v>297</v>
      </c>
      <c r="E66" s="305" t="s">
        <v>645</v>
      </c>
      <c r="F66" s="313" t="s">
        <v>297</v>
      </c>
      <c r="G66" s="313">
        <v>0.4</v>
      </c>
      <c r="H66" s="313" t="s">
        <v>297</v>
      </c>
      <c r="I66" s="313">
        <v>0.4</v>
      </c>
      <c r="J66" s="313">
        <v>2024</v>
      </c>
      <c r="K66" s="313" t="s">
        <v>297</v>
      </c>
      <c r="L66" s="301" t="s">
        <v>647</v>
      </c>
      <c r="M66" s="313" t="s">
        <v>297</v>
      </c>
      <c r="N66" s="304" t="s">
        <v>646</v>
      </c>
      <c r="O66" s="320" t="s">
        <v>297</v>
      </c>
      <c r="P66" s="313" t="s">
        <v>625</v>
      </c>
      <c r="Q66" s="313" t="s">
        <v>297</v>
      </c>
      <c r="R66" s="313">
        <v>0.19</v>
      </c>
      <c r="S66" s="304" t="s">
        <v>297</v>
      </c>
      <c r="T66" s="304" t="s">
        <v>297</v>
      </c>
      <c r="U66" s="304" t="s">
        <v>297</v>
      </c>
      <c r="V66" s="304" t="s">
        <v>297</v>
      </c>
      <c r="W66" s="305" t="s">
        <v>648</v>
      </c>
      <c r="X66" s="304" t="s">
        <v>297</v>
      </c>
      <c r="Y66" s="304" t="s">
        <v>297</v>
      </c>
      <c r="Z66" s="304" t="s">
        <v>297</v>
      </c>
      <c r="AA66" s="304" t="s">
        <v>297</v>
      </c>
    </row>
    <row r="67" spans="1:27" ht="34.5" customHeight="1" x14ac:dyDescent="0.25">
      <c r="A67" s="304">
        <f t="shared" si="0"/>
        <v>36</v>
      </c>
      <c r="B67" s="304"/>
      <c r="C67" s="305" t="s">
        <v>652</v>
      </c>
      <c r="D67" s="304" t="s">
        <v>297</v>
      </c>
      <c r="E67" s="305" t="s">
        <v>652</v>
      </c>
      <c r="F67" s="313" t="s">
        <v>297</v>
      </c>
      <c r="G67" s="313">
        <v>0.4</v>
      </c>
      <c r="H67" s="313" t="s">
        <v>297</v>
      </c>
      <c r="I67" s="313">
        <v>0.4</v>
      </c>
      <c r="J67" s="313">
        <v>2024</v>
      </c>
      <c r="K67" s="313" t="s">
        <v>297</v>
      </c>
      <c r="L67" s="324" t="s">
        <v>663</v>
      </c>
      <c r="M67" s="313" t="s">
        <v>297</v>
      </c>
      <c r="N67" s="304" t="s">
        <v>661</v>
      </c>
      <c r="O67" s="320" t="s">
        <v>297</v>
      </c>
      <c r="P67" s="313" t="s">
        <v>611</v>
      </c>
      <c r="Q67" s="313" t="s">
        <v>297</v>
      </c>
      <c r="R67" s="313">
        <v>0.39500000000000002</v>
      </c>
      <c r="S67" s="304" t="s">
        <v>297</v>
      </c>
      <c r="T67" s="304" t="s">
        <v>297</v>
      </c>
      <c r="U67" s="304" t="s">
        <v>297</v>
      </c>
      <c r="V67" s="304" t="s">
        <v>297</v>
      </c>
      <c r="W67" s="321" t="s">
        <v>649</v>
      </c>
      <c r="X67" s="304" t="s">
        <v>297</v>
      </c>
      <c r="Y67" s="304" t="s">
        <v>297</v>
      </c>
      <c r="Z67" s="304" t="s">
        <v>297</v>
      </c>
      <c r="AA67" s="304" t="s">
        <v>297</v>
      </c>
    </row>
    <row r="68" spans="1:27" ht="31.5" x14ac:dyDescent="0.25">
      <c r="A68" s="304">
        <f t="shared" si="0"/>
        <v>37</v>
      </c>
      <c r="B68" s="304"/>
      <c r="C68" s="305" t="s">
        <v>653</v>
      </c>
      <c r="D68" s="304" t="s">
        <v>297</v>
      </c>
      <c r="E68" s="305" t="s">
        <v>653</v>
      </c>
      <c r="F68" s="313" t="s">
        <v>297</v>
      </c>
      <c r="G68" s="313">
        <v>0.4</v>
      </c>
      <c r="H68" s="313" t="s">
        <v>297</v>
      </c>
      <c r="I68" s="313">
        <v>0.4</v>
      </c>
      <c r="J68" s="313">
        <v>2024</v>
      </c>
      <c r="K68" s="313" t="s">
        <v>297</v>
      </c>
      <c r="L68" s="324" t="s">
        <v>662</v>
      </c>
      <c r="M68" s="313" t="s">
        <v>297</v>
      </c>
      <c r="N68" s="304" t="s">
        <v>661</v>
      </c>
      <c r="O68" s="320" t="s">
        <v>297</v>
      </c>
      <c r="P68" s="313" t="s">
        <v>611</v>
      </c>
      <c r="Q68" s="313" t="s">
        <v>297</v>
      </c>
      <c r="R68" s="313">
        <v>0.39500000000000002</v>
      </c>
      <c r="S68" s="304" t="s">
        <v>297</v>
      </c>
      <c r="T68" s="304" t="s">
        <v>297</v>
      </c>
      <c r="U68" s="304" t="s">
        <v>297</v>
      </c>
      <c r="V68" s="304" t="s">
        <v>297</v>
      </c>
      <c r="W68" s="305" t="s">
        <v>649</v>
      </c>
      <c r="X68" s="304" t="s">
        <v>297</v>
      </c>
      <c r="Y68" s="304" t="s">
        <v>297</v>
      </c>
      <c r="Z68" s="304" t="s">
        <v>297</v>
      </c>
      <c r="AA68" s="304" t="s">
        <v>297</v>
      </c>
    </row>
    <row r="69" spans="1:27" ht="31.5" x14ac:dyDescent="0.25">
      <c r="A69" s="304">
        <f t="shared" si="0"/>
        <v>38</v>
      </c>
      <c r="B69" s="304"/>
      <c r="C69" s="305" t="s">
        <v>654</v>
      </c>
      <c r="D69" s="304" t="s">
        <v>297</v>
      </c>
      <c r="E69" s="305" t="s">
        <v>654</v>
      </c>
      <c r="F69" s="313" t="s">
        <v>297</v>
      </c>
      <c r="G69" s="313">
        <v>0.4</v>
      </c>
      <c r="H69" s="313" t="s">
        <v>297</v>
      </c>
      <c r="I69" s="313">
        <v>0.4</v>
      </c>
      <c r="J69" s="313">
        <v>2024</v>
      </c>
      <c r="K69" s="313" t="s">
        <v>297</v>
      </c>
      <c r="L69" s="313">
        <v>1</v>
      </c>
      <c r="M69" s="323" t="s">
        <v>297</v>
      </c>
      <c r="N69" s="304" t="s">
        <v>626</v>
      </c>
      <c r="O69" s="320" t="s">
        <v>297</v>
      </c>
      <c r="P69" s="313" t="s">
        <v>611</v>
      </c>
      <c r="Q69" s="313" t="s">
        <v>297</v>
      </c>
      <c r="R69" s="313">
        <v>0.6</v>
      </c>
      <c r="S69" s="304" t="s">
        <v>297</v>
      </c>
      <c r="T69" s="304" t="s">
        <v>297</v>
      </c>
      <c r="U69" s="304" t="s">
        <v>297</v>
      </c>
      <c r="V69" s="304" t="s">
        <v>297</v>
      </c>
      <c r="W69" s="305" t="s">
        <v>665</v>
      </c>
      <c r="X69" s="304" t="s">
        <v>297</v>
      </c>
      <c r="Y69" s="304" t="s">
        <v>297</v>
      </c>
      <c r="Z69" s="304" t="s">
        <v>297</v>
      </c>
      <c r="AA69" s="304" t="s">
        <v>297</v>
      </c>
    </row>
    <row r="70" spans="1:27" ht="31.5" x14ac:dyDescent="0.25">
      <c r="A70" s="304">
        <f t="shared" si="0"/>
        <v>39</v>
      </c>
      <c r="B70" s="304"/>
      <c r="C70" s="305" t="s">
        <v>655</v>
      </c>
      <c r="D70" s="304" t="s">
        <v>297</v>
      </c>
      <c r="E70" s="305" t="s">
        <v>655</v>
      </c>
      <c r="F70" s="313" t="s">
        <v>297</v>
      </c>
      <c r="G70" s="313">
        <v>0.4</v>
      </c>
      <c r="H70" s="313" t="s">
        <v>297</v>
      </c>
      <c r="I70" s="313">
        <v>0.4</v>
      </c>
      <c r="J70" s="313">
        <v>2024</v>
      </c>
      <c r="K70" s="313" t="s">
        <v>297</v>
      </c>
      <c r="L70" s="313">
        <v>1</v>
      </c>
      <c r="M70" s="323" t="s">
        <v>297</v>
      </c>
      <c r="N70" s="304" t="s">
        <v>626</v>
      </c>
      <c r="O70" s="320" t="s">
        <v>297</v>
      </c>
      <c r="P70" s="313" t="s">
        <v>611</v>
      </c>
      <c r="Q70" s="313" t="s">
        <v>297</v>
      </c>
      <c r="R70" s="313">
        <v>0.66</v>
      </c>
      <c r="S70" s="304" t="s">
        <v>297</v>
      </c>
      <c r="T70" s="304" t="s">
        <v>297</v>
      </c>
      <c r="U70" s="304" t="s">
        <v>297</v>
      </c>
      <c r="V70" s="304" t="s">
        <v>297</v>
      </c>
      <c r="W70" s="305" t="s">
        <v>669</v>
      </c>
      <c r="X70" s="304" t="s">
        <v>297</v>
      </c>
      <c r="Y70" s="304" t="s">
        <v>297</v>
      </c>
      <c r="Z70" s="304" t="s">
        <v>297</v>
      </c>
      <c r="AA70" s="304" t="s">
        <v>297</v>
      </c>
    </row>
    <row r="71" spans="1:27" ht="31.5" x14ac:dyDescent="0.25">
      <c r="A71" s="304">
        <f t="shared" si="0"/>
        <v>40</v>
      </c>
      <c r="B71" s="304"/>
      <c r="C71" s="305" t="s">
        <v>656</v>
      </c>
      <c r="D71" s="304" t="s">
        <v>297</v>
      </c>
      <c r="E71" s="305" t="s">
        <v>656</v>
      </c>
      <c r="F71" s="313" t="s">
        <v>297</v>
      </c>
      <c r="G71" s="313">
        <v>0.4</v>
      </c>
      <c r="H71" s="313" t="s">
        <v>297</v>
      </c>
      <c r="I71" s="313">
        <v>0.4</v>
      </c>
      <c r="J71" s="313">
        <v>2024</v>
      </c>
      <c r="K71" s="313" t="s">
        <v>297</v>
      </c>
      <c r="L71" s="313">
        <v>1</v>
      </c>
      <c r="M71" s="323" t="s">
        <v>297</v>
      </c>
      <c r="N71" s="304" t="s">
        <v>626</v>
      </c>
      <c r="O71" s="320" t="s">
        <v>297</v>
      </c>
      <c r="P71" s="313" t="s">
        <v>611</v>
      </c>
      <c r="Q71" s="313" t="s">
        <v>297</v>
      </c>
      <c r="R71" s="313">
        <v>0.84</v>
      </c>
      <c r="S71" s="304" t="s">
        <v>297</v>
      </c>
      <c r="T71" s="304" t="s">
        <v>297</v>
      </c>
      <c r="U71" s="304" t="s">
        <v>297</v>
      </c>
      <c r="V71" s="304" t="s">
        <v>297</v>
      </c>
      <c r="W71" s="305" t="s">
        <v>650</v>
      </c>
      <c r="X71" s="304" t="s">
        <v>297</v>
      </c>
      <c r="Y71" s="304" t="s">
        <v>297</v>
      </c>
      <c r="Z71" s="304" t="s">
        <v>297</v>
      </c>
      <c r="AA71" s="304" t="s">
        <v>297</v>
      </c>
    </row>
    <row r="72" spans="1:27" ht="31.5" x14ac:dyDescent="0.25">
      <c r="A72" s="304">
        <f t="shared" si="0"/>
        <v>41</v>
      </c>
      <c r="B72" s="304"/>
      <c r="C72" s="305" t="s">
        <v>657</v>
      </c>
      <c r="D72" s="304" t="s">
        <v>297</v>
      </c>
      <c r="E72" s="305" t="s">
        <v>657</v>
      </c>
      <c r="F72" s="313" t="s">
        <v>297</v>
      </c>
      <c r="G72" s="313">
        <v>0.4</v>
      </c>
      <c r="H72" s="313" t="s">
        <v>297</v>
      </c>
      <c r="I72" s="313">
        <v>0.4</v>
      </c>
      <c r="J72" s="313">
        <v>2024</v>
      </c>
      <c r="K72" s="313" t="s">
        <v>297</v>
      </c>
      <c r="L72" s="313">
        <v>1</v>
      </c>
      <c r="M72" s="323" t="s">
        <v>297</v>
      </c>
      <c r="N72" s="304" t="s">
        <v>626</v>
      </c>
      <c r="O72" s="320" t="s">
        <v>297</v>
      </c>
      <c r="P72" s="313" t="s">
        <v>611</v>
      </c>
      <c r="Q72" s="313" t="s">
        <v>297</v>
      </c>
      <c r="R72" s="313">
        <v>0.87</v>
      </c>
      <c r="S72" s="304" t="s">
        <v>297</v>
      </c>
      <c r="T72" s="304" t="s">
        <v>297</v>
      </c>
      <c r="U72" s="304" t="s">
        <v>297</v>
      </c>
      <c r="V72" s="304" t="s">
        <v>297</v>
      </c>
      <c r="W72" s="305" t="s">
        <v>666</v>
      </c>
      <c r="X72" s="304" t="s">
        <v>297</v>
      </c>
      <c r="Y72" s="304" t="s">
        <v>297</v>
      </c>
      <c r="Z72" s="304" t="s">
        <v>297</v>
      </c>
      <c r="AA72" s="304" t="s">
        <v>297</v>
      </c>
    </row>
    <row r="73" spans="1:27" ht="31.5" x14ac:dyDescent="0.25">
      <c r="A73" s="304">
        <f t="shared" si="0"/>
        <v>42</v>
      </c>
      <c r="B73" s="304"/>
      <c r="C73" s="305" t="s">
        <v>658</v>
      </c>
      <c r="D73" s="304" t="s">
        <v>297</v>
      </c>
      <c r="E73" s="305" t="s">
        <v>658</v>
      </c>
      <c r="F73" s="313" t="s">
        <v>297</v>
      </c>
      <c r="G73" s="313">
        <v>0.4</v>
      </c>
      <c r="H73" s="313" t="s">
        <v>297</v>
      </c>
      <c r="I73" s="313">
        <v>0.4</v>
      </c>
      <c r="J73" s="313">
        <v>2024</v>
      </c>
      <c r="K73" s="313" t="s">
        <v>297</v>
      </c>
      <c r="L73" s="313">
        <v>1</v>
      </c>
      <c r="M73" s="323" t="s">
        <v>297</v>
      </c>
      <c r="N73" s="304" t="s">
        <v>626</v>
      </c>
      <c r="O73" s="320" t="s">
        <v>297</v>
      </c>
      <c r="P73" s="313" t="s">
        <v>611</v>
      </c>
      <c r="Q73" s="313" t="s">
        <v>297</v>
      </c>
      <c r="R73" s="313">
        <v>1.65</v>
      </c>
      <c r="S73" s="304" t="s">
        <v>297</v>
      </c>
      <c r="T73" s="304" t="s">
        <v>297</v>
      </c>
      <c r="U73" s="304" t="s">
        <v>297</v>
      </c>
      <c r="V73" s="304" t="s">
        <v>297</v>
      </c>
      <c r="W73" s="305" t="s">
        <v>667</v>
      </c>
      <c r="X73" s="304" t="s">
        <v>297</v>
      </c>
      <c r="Y73" s="304" t="s">
        <v>297</v>
      </c>
      <c r="Z73" s="304" t="s">
        <v>297</v>
      </c>
      <c r="AA73" s="304" t="s">
        <v>297</v>
      </c>
    </row>
    <row r="74" spans="1:27" ht="47.25" x14ac:dyDescent="0.25">
      <c r="A74" s="304">
        <f t="shared" si="0"/>
        <v>43</v>
      </c>
      <c r="B74" s="304"/>
      <c r="C74" s="305" t="s">
        <v>660</v>
      </c>
      <c r="D74" s="304" t="s">
        <v>297</v>
      </c>
      <c r="E74" s="305" t="s">
        <v>660</v>
      </c>
      <c r="F74" s="313" t="s">
        <v>297</v>
      </c>
      <c r="G74" s="313">
        <v>0.4</v>
      </c>
      <c r="H74" s="313" t="s">
        <v>297</v>
      </c>
      <c r="I74" s="313">
        <v>0.4</v>
      </c>
      <c r="J74" s="313">
        <v>2024</v>
      </c>
      <c r="K74" s="313" t="s">
        <v>297</v>
      </c>
      <c r="L74" s="313">
        <v>1</v>
      </c>
      <c r="M74" s="323" t="s">
        <v>297</v>
      </c>
      <c r="N74" s="304" t="s">
        <v>626</v>
      </c>
      <c r="O74" s="320" t="s">
        <v>297</v>
      </c>
      <c r="P74" s="313" t="s">
        <v>611</v>
      </c>
      <c r="Q74" s="313" t="s">
        <v>297</v>
      </c>
      <c r="R74" s="313">
        <v>0.63</v>
      </c>
      <c r="S74" s="304" t="s">
        <v>297</v>
      </c>
      <c r="T74" s="304" t="s">
        <v>297</v>
      </c>
      <c r="U74" s="304" t="s">
        <v>297</v>
      </c>
      <c r="V74" s="304" t="s">
        <v>297</v>
      </c>
      <c r="W74" s="305" t="s">
        <v>668</v>
      </c>
      <c r="X74" s="304" t="s">
        <v>297</v>
      </c>
      <c r="Y74" s="304" t="s">
        <v>297</v>
      </c>
      <c r="Z74" s="304" t="s">
        <v>297</v>
      </c>
      <c r="AA74" s="304" t="s">
        <v>297</v>
      </c>
    </row>
    <row r="75" spans="1:27" ht="31.5" x14ac:dyDescent="0.25">
      <c r="A75" s="304">
        <f t="shared" si="0"/>
        <v>44</v>
      </c>
      <c r="B75" s="304"/>
      <c r="C75" s="305" t="s">
        <v>659</v>
      </c>
      <c r="D75" s="304" t="s">
        <v>297</v>
      </c>
      <c r="E75" s="305" t="s">
        <v>659</v>
      </c>
      <c r="F75" s="313" t="s">
        <v>297</v>
      </c>
      <c r="G75" s="313">
        <v>0.4</v>
      </c>
      <c r="H75" s="313" t="s">
        <v>297</v>
      </c>
      <c r="I75" s="313">
        <v>0.4</v>
      </c>
      <c r="J75" s="313">
        <v>2024</v>
      </c>
      <c r="K75" s="313" t="s">
        <v>297</v>
      </c>
      <c r="L75" s="313">
        <v>1</v>
      </c>
      <c r="M75" s="323" t="s">
        <v>297</v>
      </c>
      <c r="N75" s="304" t="s">
        <v>664</v>
      </c>
      <c r="O75" s="320" t="s">
        <v>297</v>
      </c>
      <c r="P75" s="313" t="s">
        <v>625</v>
      </c>
      <c r="Q75" s="313" t="s">
        <v>297</v>
      </c>
      <c r="R75" s="313">
        <v>0.21</v>
      </c>
      <c r="S75" s="304" t="s">
        <v>297</v>
      </c>
      <c r="T75" s="304" t="s">
        <v>297</v>
      </c>
      <c r="U75" s="304" t="s">
        <v>297</v>
      </c>
      <c r="V75" s="304" t="s">
        <v>297</v>
      </c>
      <c r="W75" s="305" t="s">
        <v>670</v>
      </c>
      <c r="X75" s="304" t="s">
        <v>297</v>
      </c>
      <c r="Y75" s="304" t="s">
        <v>297</v>
      </c>
      <c r="Z75" s="304" t="s">
        <v>297</v>
      </c>
      <c r="AA75" s="304" t="s">
        <v>297</v>
      </c>
    </row>
    <row r="76" spans="1:27" x14ac:dyDescent="0.25">
      <c r="R76" s="25">
        <f>SUM(R25:R75)</f>
        <v>27.422000000000001</v>
      </c>
    </row>
  </sheetData>
  <mergeCells count="78">
    <mergeCell ref="A57:A58"/>
    <mergeCell ref="B53:B54"/>
    <mergeCell ref="B55:B56"/>
    <mergeCell ref="A51:A52"/>
    <mergeCell ref="A53:A54"/>
    <mergeCell ref="A55:A56"/>
    <mergeCell ref="D55:D56"/>
    <mergeCell ref="D57:D58"/>
    <mergeCell ref="W57:W58"/>
    <mergeCell ref="C57:C58"/>
    <mergeCell ref="F57:F58"/>
    <mergeCell ref="G57:G58"/>
    <mergeCell ref="H57:H58"/>
    <mergeCell ref="I57:I58"/>
    <mergeCell ref="J57:J58"/>
    <mergeCell ref="E55:E56"/>
    <mergeCell ref="C55:C56"/>
    <mergeCell ref="E57:E58"/>
    <mergeCell ref="W55:W56"/>
    <mergeCell ref="F55:F56"/>
    <mergeCell ref="G55:G56"/>
    <mergeCell ref="I55:I56"/>
    <mergeCell ref="J55:J56"/>
    <mergeCell ref="W53:W54"/>
    <mergeCell ref="I53:I54"/>
    <mergeCell ref="J53:J54"/>
    <mergeCell ref="E53:E54"/>
    <mergeCell ref="C53:C54"/>
    <mergeCell ref="F53:F54"/>
    <mergeCell ref="G53:G54"/>
    <mergeCell ref="B48:B49"/>
    <mergeCell ref="D53:D54"/>
    <mergeCell ref="A48:A49"/>
    <mergeCell ref="W51:W52"/>
    <mergeCell ref="G51:G52"/>
    <mergeCell ref="I51:I52"/>
    <mergeCell ref="C51:C52"/>
    <mergeCell ref="E51:E52"/>
    <mergeCell ref="D51:D52"/>
    <mergeCell ref="F51:F52"/>
    <mergeCell ref="J51:J52"/>
    <mergeCell ref="H51:H52"/>
    <mergeCell ref="B51:B52"/>
    <mergeCell ref="E48:E49"/>
    <mergeCell ref="C48:C49"/>
    <mergeCell ref="D48:D49"/>
    <mergeCell ref="E45:E47"/>
    <mergeCell ref="C45:C47"/>
    <mergeCell ref="B45:B47"/>
    <mergeCell ref="A45:A47"/>
    <mergeCell ref="D45:D4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honeticPr fontId="84" type="noConversion"/>
  <pageMargins left="0.78740157480314965" right="0.59055118110236227" top="0.78740157480314965" bottom="0.39370078740157483" header="0.19685039370078741" footer="0.19685039370078741"/>
  <pageSetup paperSize="8" scale="2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4" sqref="C24"/>
    </sheetView>
  </sheetViews>
  <sheetFormatPr defaultColWidth="9.140625" defaultRowHeight="15" x14ac:dyDescent="0.25"/>
  <cols>
    <col min="1" max="1" width="6.140625" style="114" customWidth="1"/>
    <col min="2" max="2" width="53.5703125" style="114" customWidth="1"/>
    <col min="3" max="3" width="98.28515625" style="114" customWidth="1"/>
    <col min="4" max="4" width="14.42578125" style="114" customWidth="1"/>
    <col min="5" max="5" width="36.5703125" style="114" customWidth="1"/>
    <col min="6" max="6" width="20" style="114" customWidth="1"/>
    <col min="7" max="7" width="25.5703125" style="114" customWidth="1"/>
    <col min="8" max="8" width="16.42578125" style="114" customWidth="1"/>
    <col min="9" max="16384" width="9.140625" style="114"/>
  </cols>
  <sheetData>
    <row r="1" spans="1:29" s="13" customFormat="1" ht="18.75" customHeight="1" x14ac:dyDescent="0.2">
      <c r="C1" s="20" t="s">
        <v>66</v>
      </c>
    </row>
    <row r="2" spans="1:29" s="13" customFormat="1" ht="18.75" customHeight="1" x14ac:dyDescent="0.3">
      <c r="C2" s="11" t="s">
        <v>8</v>
      </c>
    </row>
    <row r="3" spans="1:29" s="13" customFormat="1" ht="18.75" x14ac:dyDescent="0.3">
      <c r="A3" s="102"/>
      <c r="C3" s="11" t="s">
        <v>65</v>
      </c>
    </row>
    <row r="4" spans="1:29" s="13" customFormat="1" ht="18.75" x14ac:dyDescent="0.3">
      <c r="A4" s="102"/>
      <c r="C4" s="11"/>
    </row>
    <row r="5" spans="1:29" s="13" customFormat="1" ht="15.75" x14ac:dyDescent="0.2">
      <c r="A5" s="331" t="str">
        <f>'1. паспорт местоположение'!A5:C5</f>
        <v>Год раскрытия информации: 2024 год</v>
      </c>
      <c r="B5" s="331"/>
      <c r="C5" s="331"/>
      <c r="D5" s="83"/>
      <c r="E5" s="83"/>
      <c r="F5" s="83"/>
      <c r="G5" s="83"/>
      <c r="H5" s="83"/>
      <c r="I5" s="83"/>
      <c r="J5" s="83"/>
      <c r="K5" s="83"/>
      <c r="L5" s="83"/>
      <c r="M5" s="83"/>
      <c r="N5" s="83"/>
      <c r="O5" s="83"/>
      <c r="P5" s="83"/>
      <c r="Q5" s="83"/>
      <c r="R5" s="83"/>
      <c r="S5" s="83"/>
      <c r="T5" s="83"/>
      <c r="U5" s="83"/>
      <c r="V5" s="83"/>
      <c r="W5" s="83"/>
      <c r="X5" s="83"/>
      <c r="Y5" s="83"/>
      <c r="Z5" s="83"/>
      <c r="AA5" s="83"/>
      <c r="AB5" s="83"/>
      <c r="AC5" s="83"/>
    </row>
    <row r="6" spans="1:29" s="13" customFormat="1" ht="18.75" x14ac:dyDescent="0.3">
      <c r="A6" s="102"/>
      <c r="G6" s="11"/>
    </row>
    <row r="7" spans="1:29" s="13" customFormat="1" ht="18.75" x14ac:dyDescent="0.2">
      <c r="A7" s="340" t="s">
        <v>7</v>
      </c>
      <c r="B7" s="340"/>
      <c r="C7" s="340"/>
      <c r="D7" s="104"/>
      <c r="E7" s="104"/>
      <c r="F7" s="104"/>
      <c r="G7" s="104"/>
      <c r="H7" s="104"/>
      <c r="I7" s="104"/>
      <c r="J7" s="104"/>
      <c r="K7" s="104"/>
      <c r="L7" s="104"/>
      <c r="M7" s="104"/>
      <c r="N7" s="104"/>
      <c r="O7" s="104"/>
      <c r="P7" s="104"/>
      <c r="Q7" s="104"/>
      <c r="R7" s="104"/>
      <c r="S7" s="104"/>
      <c r="T7" s="104"/>
      <c r="U7" s="104"/>
    </row>
    <row r="8" spans="1:29" s="13" customFormat="1" ht="18.75" x14ac:dyDescent="0.2">
      <c r="A8" s="340"/>
      <c r="B8" s="340"/>
      <c r="C8" s="340"/>
      <c r="D8" s="115"/>
      <c r="E8" s="115"/>
      <c r="F8" s="115"/>
      <c r="G8" s="115"/>
      <c r="H8" s="104"/>
      <c r="I8" s="104"/>
      <c r="J8" s="104"/>
      <c r="K8" s="104"/>
      <c r="L8" s="104"/>
      <c r="M8" s="104"/>
      <c r="N8" s="104"/>
      <c r="O8" s="104"/>
      <c r="P8" s="104"/>
      <c r="Q8" s="104"/>
      <c r="R8" s="104"/>
      <c r="S8" s="104"/>
      <c r="T8" s="104"/>
      <c r="U8" s="104"/>
    </row>
    <row r="9" spans="1:29" s="13" customFormat="1" ht="18.75" x14ac:dyDescent="0.2">
      <c r="A9" s="338" t="str">
        <f>'1. паспорт местоположение'!A9:C9</f>
        <v xml:space="preserve">Акционерное общество "Западная энергетическая компания" </v>
      </c>
      <c r="B9" s="338"/>
      <c r="C9" s="338"/>
      <c r="D9" s="106"/>
      <c r="E9" s="106"/>
      <c r="F9" s="106"/>
      <c r="G9" s="106"/>
      <c r="H9" s="104"/>
      <c r="I9" s="104"/>
      <c r="J9" s="104"/>
      <c r="K9" s="104"/>
      <c r="L9" s="104"/>
      <c r="M9" s="104"/>
      <c r="N9" s="104"/>
      <c r="O9" s="104"/>
      <c r="P9" s="104"/>
      <c r="Q9" s="104"/>
      <c r="R9" s="104"/>
      <c r="S9" s="104"/>
      <c r="T9" s="104"/>
      <c r="U9" s="104"/>
    </row>
    <row r="10" spans="1:29" s="13" customFormat="1" ht="18.75" x14ac:dyDescent="0.2">
      <c r="A10" s="344" t="s">
        <v>6</v>
      </c>
      <c r="B10" s="344"/>
      <c r="C10" s="344"/>
      <c r="D10" s="107"/>
      <c r="E10" s="107"/>
      <c r="F10" s="107"/>
      <c r="G10" s="107"/>
      <c r="H10" s="104"/>
      <c r="I10" s="104"/>
      <c r="J10" s="104"/>
      <c r="K10" s="104"/>
      <c r="L10" s="104"/>
      <c r="M10" s="104"/>
      <c r="N10" s="104"/>
      <c r="O10" s="104"/>
      <c r="P10" s="104"/>
      <c r="Q10" s="104"/>
      <c r="R10" s="104"/>
      <c r="S10" s="104"/>
      <c r="T10" s="104"/>
      <c r="U10" s="104"/>
    </row>
    <row r="11" spans="1:29" s="13" customFormat="1" ht="18.75" x14ac:dyDescent="0.2">
      <c r="A11" s="340"/>
      <c r="B11" s="340"/>
      <c r="C11" s="340"/>
      <c r="D11" s="115"/>
      <c r="E11" s="115"/>
      <c r="F11" s="115"/>
      <c r="G11" s="115"/>
      <c r="H11" s="104"/>
      <c r="I11" s="104"/>
      <c r="J11" s="104"/>
      <c r="K11" s="104"/>
      <c r="L11" s="104"/>
      <c r="M11" s="104"/>
      <c r="N11" s="104"/>
      <c r="O11" s="104"/>
      <c r="P11" s="104"/>
      <c r="Q11" s="104"/>
      <c r="R11" s="104"/>
      <c r="S11" s="104"/>
      <c r="T11" s="104"/>
      <c r="U11" s="104"/>
    </row>
    <row r="12" spans="1:29" s="13" customFormat="1" ht="18.75" x14ac:dyDescent="0.2">
      <c r="A12" s="338" t="str">
        <f>'1. паспорт местоположение'!A12:C12</f>
        <v>O 24-35</v>
      </c>
      <c r="B12" s="338"/>
      <c r="C12" s="338"/>
      <c r="D12" s="106"/>
      <c r="E12" s="106"/>
      <c r="F12" s="106"/>
      <c r="G12" s="106"/>
      <c r="H12" s="104"/>
      <c r="I12" s="104"/>
      <c r="J12" s="104"/>
      <c r="K12" s="104"/>
      <c r="L12" s="104"/>
      <c r="M12" s="104"/>
      <c r="N12" s="104"/>
      <c r="O12" s="104"/>
      <c r="P12" s="104"/>
      <c r="Q12" s="104"/>
      <c r="R12" s="104"/>
      <c r="S12" s="104"/>
      <c r="T12" s="104"/>
      <c r="U12" s="104"/>
    </row>
    <row r="13" spans="1:29" s="13" customFormat="1" ht="18.75" x14ac:dyDescent="0.2">
      <c r="A13" s="344" t="s">
        <v>5</v>
      </c>
      <c r="B13" s="344"/>
      <c r="C13" s="344"/>
      <c r="D13" s="107"/>
      <c r="E13" s="107"/>
      <c r="F13" s="107"/>
      <c r="G13" s="107"/>
      <c r="H13" s="104"/>
      <c r="I13" s="104"/>
      <c r="J13" s="104"/>
      <c r="K13" s="104"/>
      <c r="L13" s="104"/>
      <c r="M13" s="104"/>
      <c r="N13" s="104"/>
      <c r="O13" s="104"/>
      <c r="P13" s="104"/>
      <c r="Q13" s="104"/>
      <c r="R13" s="104"/>
      <c r="S13" s="104"/>
      <c r="T13" s="104"/>
      <c r="U13" s="104"/>
    </row>
    <row r="14" spans="1:29" s="13" customFormat="1" ht="15.75" customHeight="1" x14ac:dyDescent="0.2">
      <c r="A14" s="345"/>
      <c r="B14" s="345"/>
      <c r="C14" s="345"/>
      <c r="D14" s="105"/>
      <c r="E14" s="105"/>
      <c r="F14" s="105"/>
      <c r="G14" s="105"/>
      <c r="H14" s="105"/>
      <c r="I14" s="105"/>
      <c r="J14" s="105"/>
      <c r="K14" s="105"/>
      <c r="L14" s="105"/>
      <c r="M14" s="105"/>
      <c r="N14" s="105"/>
      <c r="O14" s="105"/>
      <c r="P14" s="105"/>
      <c r="Q14" s="105"/>
      <c r="R14" s="105"/>
      <c r="S14" s="105"/>
      <c r="T14" s="105"/>
      <c r="U14" s="105"/>
    </row>
    <row r="15" spans="1:29" s="103" customFormat="1" ht="45.75" customHeight="1" x14ac:dyDescent="0.2">
      <c r="A15" s="377" t="str">
        <f>'1. паспорт местоположение'!A15:C15</f>
        <v>Покупка объектов основных средств электросетевого хозяйства</v>
      </c>
      <c r="B15" s="377"/>
      <c r="C15" s="377"/>
      <c r="D15" s="106"/>
      <c r="E15" s="106"/>
      <c r="F15" s="106"/>
      <c r="G15" s="106"/>
      <c r="H15" s="106"/>
      <c r="I15" s="106"/>
      <c r="J15" s="106"/>
      <c r="K15" s="106"/>
      <c r="L15" s="106"/>
      <c r="M15" s="106"/>
      <c r="N15" s="106"/>
      <c r="O15" s="106"/>
      <c r="P15" s="106"/>
      <c r="Q15" s="106"/>
      <c r="R15" s="106"/>
      <c r="S15" s="106"/>
      <c r="T15" s="106"/>
      <c r="U15" s="106"/>
    </row>
    <row r="16" spans="1:29" s="103" customFormat="1" ht="15" customHeight="1" x14ac:dyDescent="0.2">
      <c r="A16" s="344" t="s">
        <v>4</v>
      </c>
      <c r="B16" s="344"/>
      <c r="C16" s="344"/>
      <c r="D16" s="107"/>
      <c r="E16" s="107"/>
      <c r="F16" s="107"/>
      <c r="G16" s="107"/>
      <c r="H16" s="107"/>
      <c r="I16" s="107"/>
      <c r="J16" s="107"/>
      <c r="K16" s="107"/>
      <c r="L16" s="107"/>
      <c r="M16" s="107"/>
      <c r="N16" s="107"/>
      <c r="O16" s="107"/>
      <c r="P16" s="107"/>
      <c r="Q16" s="107"/>
      <c r="R16" s="107"/>
      <c r="S16" s="107"/>
      <c r="T16" s="107"/>
      <c r="U16" s="107"/>
    </row>
    <row r="17" spans="1:21" s="103" customFormat="1" ht="15" customHeight="1" x14ac:dyDescent="0.2">
      <c r="A17" s="345"/>
      <c r="B17" s="345"/>
      <c r="C17" s="345"/>
      <c r="D17" s="105"/>
      <c r="E17" s="105"/>
      <c r="F17" s="105"/>
      <c r="G17" s="105"/>
      <c r="H17" s="105"/>
      <c r="I17" s="105"/>
      <c r="J17" s="105"/>
      <c r="K17" s="105"/>
      <c r="L17" s="105"/>
      <c r="M17" s="105"/>
      <c r="N17" s="105"/>
      <c r="O17" s="105"/>
      <c r="P17" s="105"/>
      <c r="Q17" s="105"/>
      <c r="R17" s="105"/>
    </row>
    <row r="18" spans="1:21" s="103" customFormat="1" ht="27.75" customHeight="1" x14ac:dyDescent="0.2">
      <c r="A18" s="346" t="s">
        <v>381</v>
      </c>
      <c r="B18" s="346"/>
      <c r="C18" s="346"/>
      <c r="D18" s="108"/>
      <c r="E18" s="108"/>
      <c r="F18" s="108"/>
      <c r="G18" s="108"/>
      <c r="H18" s="108"/>
      <c r="I18" s="108"/>
      <c r="J18" s="108"/>
      <c r="K18" s="108"/>
      <c r="L18" s="108"/>
      <c r="M18" s="108"/>
      <c r="N18" s="108"/>
      <c r="O18" s="108"/>
      <c r="P18" s="108"/>
      <c r="Q18" s="108"/>
      <c r="R18" s="108"/>
      <c r="S18" s="108"/>
      <c r="T18" s="108"/>
      <c r="U18" s="108"/>
    </row>
    <row r="19" spans="1:21" s="103" customFormat="1" ht="15" customHeight="1" x14ac:dyDescent="0.2">
      <c r="A19" s="107"/>
      <c r="B19" s="107"/>
      <c r="C19" s="107"/>
      <c r="D19" s="107"/>
      <c r="E19" s="107"/>
      <c r="F19" s="107"/>
      <c r="G19" s="107"/>
      <c r="H19" s="105"/>
      <c r="I19" s="105"/>
      <c r="J19" s="105"/>
      <c r="K19" s="105"/>
      <c r="L19" s="105"/>
      <c r="M19" s="105"/>
      <c r="N19" s="105"/>
      <c r="O19" s="105"/>
      <c r="P19" s="105"/>
      <c r="Q19" s="105"/>
      <c r="R19" s="105"/>
    </row>
    <row r="20" spans="1:21" s="103" customFormat="1" ht="39.75" customHeight="1" x14ac:dyDescent="0.2">
      <c r="A20" s="116" t="s">
        <v>3</v>
      </c>
      <c r="B20" s="112" t="s">
        <v>64</v>
      </c>
      <c r="C20" s="113" t="s">
        <v>63</v>
      </c>
      <c r="D20" s="107"/>
      <c r="E20" s="107"/>
      <c r="F20" s="107"/>
      <c r="G20" s="107"/>
      <c r="H20" s="105"/>
      <c r="I20" s="105"/>
      <c r="J20" s="105"/>
      <c r="K20" s="105"/>
      <c r="L20" s="105"/>
      <c r="M20" s="105"/>
      <c r="N20" s="105"/>
      <c r="O20" s="105"/>
      <c r="P20" s="105"/>
      <c r="Q20" s="105"/>
      <c r="R20" s="105"/>
    </row>
    <row r="21" spans="1:21" s="103" customFormat="1" ht="16.5" customHeight="1" x14ac:dyDescent="0.2">
      <c r="A21" s="113">
        <v>1</v>
      </c>
      <c r="B21" s="112">
        <v>2</v>
      </c>
      <c r="C21" s="113">
        <v>3</v>
      </c>
      <c r="D21" s="107"/>
      <c r="E21" s="107"/>
      <c r="F21" s="107"/>
      <c r="G21" s="107"/>
      <c r="H21" s="105"/>
      <c r="I21" s="105"/>
      <c r="J21" s="105"/>
      <c r="K21" s="105"/>
      <c r="L21" s="105"/>
      <c r="M21" s="105"/>
      <c r="N21" s="105"/>
      <c r="O21" s="105"/>
      <c r="P21" s="105"/>
      <c r="Q21" s="105"/>
      <c r="R21" s="105"/>
    </row>
    <row r="22" spans="1:21" s="103" customFormat="1" ht="41.25" customHeight="1" x14ac:dyDescent="0.2">
      <c r="A22" s="117" t="s">
        <v>62</v>
      </c>
      <c r="B22" s="16" t="s">
        <v>394</v>
      </c>
      <c r="C22" s="176" t="s">
        <v>560</v>
      </c>
      <c r="D22" s="107"/>
      <c r="E22" s="107"/>
      <c r="F22" s="105"/>
      <c r="G22" s="105"/>
      <c r="H22" s="105"/>
      <c r="I22" s="105"/>
      <c r="J22" s="105"/>
      <c r="K22" s="105"/>
      <c r="L22" s="105"/>
      <c r="M22" s="105"/>
      <c r="N22" s="105"/>
      <c r="O22" s="105"/>
      <c r="P22" s="105"/>
    </row>
    <row r="23" spans="1:21" ht="63" customHeight="1" x14ac:dyDescent="0.25">
      <c r="A23" s="117" t="s">
        <v>61</v>
      </c>
      <c r="B23" s="118" t="s">
        <v>58</v>
      </c>
      <c r="C23" s="119" t="str">
        <f>A15</f>
        <v>Покупка объектов основных средств электросетевого хозяйства</v>
      </c>
    </row>
    <row r="24" spans="1:21" ht="153.75" customHeight="1" x14ac:dyDescent="0.25">
      <c r="A24" s="117" t="s">
        <v>60</v>
      </c>
      <c r="B24" s="118" t="s">
        <v>413</v>
      </c>
      <c r="C24" s="24" t="str">
        <f>A15</f>
        <v>Покупка объектов основных средств электросетевого хозяйства</v>
      </c>
    </row>
    <row r="25" spans="1:21" ht="63" customHeight="1" x14ac:dyDescent="0.25">
      <c r="A25" s="117" t="s">
        <v>59</v>
      </c>
      <c r="B25" s="118" t="s">
        <v>414</v>
      </c>
      <c r="C25" s="119" t="s">
        <v>555</v>
      </c>
    </row>
    <row r="26" spans="1:21" ht="42.75" customHeight="1" x14ac:dyDescent="0.25">
      <c r="A26" s="117" t="s">
        <v>57</v>
      </c>
      <c r="B26" s="118" t="s">
        <v>208</v>
      </c>
      <c r="C26" s="116" t="s">
        <v>438</v>
      </c>
    </row>
    <row r="27" spans="1:21" ht="31.5" x14ac:dyDescent="0.25">
      <c r="A27" s="117" t="s">
        <v>56</v>
      </c>
      <c r="B27" s="118" t="s">
        <v>395</v>
      </c>
      <c r="C27" s="116" t="s">
        <v>559</v>
      </c>
    </row>
    <row r="28" spans="1:21" ht="42.75" customHeight="1" x14ac:dyDescent="0.25">
      <c r="A28" s="117" t="s">
        <v>54</v>
      </c>
      <c r="B28" s="118" t="s">
        <v>55</v>
      </c>
      <c r="C28" s="119">
        <v>2024</v>
      </c>
    </row>
    <row r="29" spans="1:21" ht="42.75" customHeight="1" x14ac:dyDescent="0.25">
      <c r="A29" s="117" t="s">
        <v>52</v>
      </c>
      <c r="B29" s="116" t="s">
        <v>53</v>
      </c>
      <c r="C29" s="119">
        <v>2029</v>
      </c>
    </row>
    <row r="30" spans="1:21" ht="42.75" customHeight="1" x14ac:dyDescent="0.25">
      <c r="A30" s="117" t="s">
        <v>70</v>
      </c>
      <c r="B30" s="116" t="s">
        <v>51</v>
      </c>
      <c r="C30" s="116" t="s">
        <v>685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0" zoomScale="90" zoomScaleNormal="80" zoomScaleSheetLayoutView="90" workbookViewId="0">
      <selection activeCell="A12" sqref="A12:Z12"/>
    </sheetView>
  </sheetViews>
  <sheetFormatPr defaultColWidth="9.140625" defaultRowHeight="15" x14ac:dyDescent="0.25"/>
  <cols>
    <col min="1" max="1" width="17.7109375" style="120" customWidth="1"/>
    <col min="2" max="2" width="30.140625" style="120" customWidth="1"/>
    <col min="3" max="3" width="12.28515625" style="120" customWidth="1"/>
    <col min="4" max="5" width="15" style="120" customWidth="1"/>
    <col min="6" max="7" width="13.28515625" style="120" customWidth="1"/>
    <col min="8" max="8" width="12.28515625" style="120" customWidth="1"/>
    <col min="9" max="9" width="17.85546875" style="120" customWidth="1"/>
    <col min="10" max="10" width="16.7109375" style="120" customWidth="1"/>
    <col min="11" max="11" width="24.5703125" style="120" customWidth="1"/>
    <col min="12" max="12" width="30.85546875" style="120" customWidth="1"/>
    <col min="13" max="13" width="27.140625" style="120" customWidth="1"/>
    <col min="14" max="14" width="32.42578125" style="120" customWidth="1"/>
    <col min="15" max="15" width="13.28515625" style="120" customWidth="1"/>
    <col min="16" max="16" width="8.7109375" style="120" customWidth="1"/>
    <col min="17" max="17" width="12.7109375" style="120" customWidth="1"/>
    <col min="18" max="18" width="9.140625" style="120"/>
    <col min="19" max="19" width="17" style="120" customWidth="1"/>
    <col min="20" max="21" width="12" style="120" customWidth="1"/>
    <col min="22" max="22" width="11" style="120" customWidth="1"/>
    <col min="23" max="25" width="17.7109375" style="120" customWidth="1"/>
    <col min="26" max="26" width="46.5703125" style="120" customWidth="1"/>
    <col min="27" max="28" width="12.28515625" style="120" customWidth="1"/>
    <col min="29" max="16384" width="9.140625" style="120"/>
  </cols>
  <sheetData>
    <row r="1" spans="1:28" ht="18.75" x14ac:dyDescent="0.25">
      <c r="Z1" s="20" t="s">
        <v>66</v>
      </c>
    </row>
    <row r="2" spans="1:28" ht="18.75" x14ac:dyDescent="0.3">
      <c r="Z2" s="11" t="s">
        <v>8</v>
      </c>
    </row>
    <row r="3" spans="1:28" ht="18.75" x14ac:dyDescent="0.3">
      <c r="Z3" s="11" t="s">
        <v>65</v>
      </c>
    </row>
    <row r="4" spans="1:28" ht="18.75" customHeight="1" x14ac:dyDescent="0.25">
      <c r="A4" s="331" t="str">
        <f>'1. паспорт местоположение'!A5:C5</f>
        <v>Год раскрытия информации: 2024 год</v>
      </c>
      <c r="B4" s="331"/>
      <c r="C4" s="331"/>
      <c r="D4" s="331"/>
      <c r="E4" s="331"/>
      <c r="F4" s="331"/>
      <c r="G4" s="331"/>
      <c r="H4" s="331"/>
      <c r="I4" s="331"/>
      <c r="J4" s="331"/>
      <c r="K4" s="331"/>
      <c r="L4" s="331"/>
      <c r="M4" s="331"/>
      <c r="N4" s="331"/>
      <c r="O4" s="331"/>
      <c r="P4" s="331"/>
      <c r="Q4" s="331"/>
      <c r="R4" s="331"/>
      <c r="S4" s="331"/>
      <c r="T4" s="331"/>
      <c r="U4" s="331"/>
      <c r="V4" s="331"/>
      <c r="W4" s="331"/>
      <c r="X4" s="331"/>
      <c r="Y4" s="331"/>
      <c r="Z4" s="331"/>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4"/>
      <c r="AB6" s="104"/>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4"/>
      <c r="AB7" s="104"/>
    </row>
    <row r="8" spans="1:28" ht="15.75" x14ac:dyDescent="0.25">
      <c r="A8" s="338" t="str">
        <f>'1. паспорт местоположение'!A9:C9</f>
        <v xml:space="preserve">Акционерное общество "Западная энергетическая компания" </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106"/>
      <c r="AB8" s="106"/>
    </row>
    <row r="9" spans="1:28" ht="15.75" x14ac:dyDescent="0.25">
      <c r="A9" s="344" t="s">
        <v>6</v>
      </c>
      <c r="B9" s="344"/>
      <c r="C9" s="344"/>
      <c r="D9" s="344"/>
      <c r="E9" s="344"/>
      <c r="F9" s="344"/>
      <c r="G9" s="344"/>
      <c r="H9" s="344"/>
      <c r="I9" s="344"/>
      <c r="J9" s="344"/>
      <c r="K9" s="344"/>
      <c r="L9" s="344"/>
      <c r="M9" s="344"/>
      <c r="N9" s="344"/>
      <c r="O9" s="344"/>
      <c r="P9" s="344"/>
      <c r="Q9" s="344"/>
      <c r="R9" s="344"/>
      <c r="S9" s="344"/>
      <c r="T9" s="344"/>
      <c r="U9" s="344"/>
      <c r="V9" s="344"/>
      <c r="W9" s="344"/>
      <c r="X9" s="344"/>
      <c r="Y9" s="344"/>
      <c r="Z9" s="344"/>
      <c r="AA9" s="107"/>
      <c r="AB9" s="107"/>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4"/>
      <c r="AB10" s="104"/>
    </row>
    <row r="11" spans="1:28" ht="15.75" x14ac:dyDescent="0.25">
      <c r="A11" s="338" t="str">
        <f>'1. паспорт местоположение'!A12:C12</f>
        <v>O 24-35</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106"/>
      <c r="AB11" s="106"/>
    </row>
    <row r="12" spans="1:28" ht="15.75" x14ac:dyDescent="0.25">
      <c r="A12" s="344" t="s">
        <v>5</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107"/>
      <c r="AB12" s="107"/>
    </row>
    <row r="13" spans="1:28" ht="18.75" x14ac:dyDescent="0.25">
      <c r="A13" s="345"/>
      <c r="B13" s="345"/>
      <c r="C13" s="345"/>
      <c r="D13" s="345"/>
      <c r="E13" s="345"/>
      <c r="F13" s="345"/>
      <c r="G13" s="345"/>
      <c r="H13" s="345"/>
      <c r="I13" s="345"/>
      <c r="J13" s="345"/>
      <c r="K13" s="345"/>
      <c r="L13" s="345"/>
      <c r="M13" s="345"/>
      <c r="N13" s="345"/>
      <c r="O13" s="345"/>
      <c r="P13" s="345"/>
      <c r="Q13" s="345"/>
      <c r="R13" s="345"/>
      <c r="S13" s="345"/>
      <c r="T13" s="345"/>
      <c r="U13" s="345"/>
      <c r="V13" s="345"/>
      <c r="W13" s="345"/>
      <c r="X13" s="345"/>
      <c r="Y13" s="345"/>
      <c r="Z13" s="345"/>
      <c r="AA13" s="121"/>
      <c r="AB13" s="121"/>
    </row>
    <row r="14" spans="1:28" ht="15.75" x14ac:dyDescent="0.25">
      <c r="A14" s="338" t="str">
        <f>'1. паспорт местоположение'!A15:C15</f>
        <v>Покупка объектов основных средств электросетевого хозяйства</v>
      </c>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106"/>
      <c r="AB14" s="106"/>
    </row>
    <row r="15" spans="1:28" ht="15.75" x14ac:dyDescent="0.25">
      <c r="A15" s="344" t="s">
        <v>4</v>
      </c>
      <c r="B15" s="344"/>
      <c r="C15" s="344"/>
      <c r="D15" s="344"/>
      <c r="E15" s="344"/>
      <c r="F15" s="344"/>
      <c r="G15" s="344"/>
      <c r="H15" s="344"/>
      <c r="I15" s="344"/>
      <c r="J15" s="344"/>
      <c r="K15" s="344"/>
      <c r="L15" s="344"/>
      <c r="M15" s="344"/>
      <c r="N15" s="344"/>
      <c r="O15" s="344"/>
      <c r="P15" s="344"/>
      <c r="Q15" s="344"/>
      <c r="R15" s="344"/>
      <c r="S15" s="344"/>
      <c r="T15" s="344"/>
      <c r="U15" s="344"/>
      <c r="V15" s="344"/>
      <c r="W15" s="344"/>
      <c r="X15" s="344"/>
      <c r="Y15" s="344"/>
      <c r="Z15" s="344"/>
      <c r="AA15" s="107"/>
      <c r="AB15" s="107"/>
    </row>
    <row r="16" spans="1:28" x14ac:dyDescent="0.25">
      <c r="A16" s="378"/>
      <c r="B16" s="378"/>
      <c r="C16" s="378"/>
      <c r="D16" s="378"/>
      <c r="E16" s="378"/>
      <c r="F16" s="378"/>
      <c r="G16" s="378"/>
      <c r="H16" s="378"/>
      <c r="I16" s="378"/>
      <c r="J16" s="378"/>
      <c r="K16" s="378"/>
      <c r="L16" s="378"/>
      <c r="M16" s="378"/>
      <c r="N16" s="378"/>
      <c r="O16" s="378"/>
      <c r="P16" s="378"/>
      <c r="Q16" s="378"/>
      <c r="R16" s="378"/>
      <c r="S16" s="378"/>
      <c r="T16" s="378"/>
      <c r="U16" s="378"/>
      <c r="V16" s="378"/>
      <c r="W16" s="378"/>
      <c r="X16" s="378"/>
      <c r="Y16" s="378"/>
      <c r="Z16" s="378"/>
      <c r="AA16" s="122"/>
      <c r="AB16" s="122"/>
    </row>
    <row r="17" spans="1:28" x14ac:dyDescent="0.25">
      <c r="A17" s="378"/>
      <c r="B17" s="378"/>
      <c r="C17" s="378"/>
      <c r="D17" s="378"/>
      <c r="E17" s="378"/>
      <c r="F17" s="378"/>
      <c r="G17" s="378"/>
      <c r="H17" s="378"/>
      <c r="I17" s="378"/>
      <c r="J17" s="378"/>
      <c r="K17" s="378"/>
      <c r="L17" s="378"/>
      <c r="M17" s="378"/>
      <c r="N17" s="378"/>
      <c r="O17" s="378"/>
      <c r="P17" s="378"/>
      <c r="Q17" s="378"/>
      <c r="R17" s="378"/>
      <c r="S17" s="378"/>
      <c r="T17" s="378"/>
      <c r="U17" s="378"/>
      <c r="V17" s="378"/>
      <c r="W17" s="378"/>
      <c r="X17" s="378"/>
      <c r="Y17" s="378"/>
      <c r="Z17" s="378"/>
      <c r="AA17" s="122"/>
      <c r="AB17" s="122"/>
    </row>
    <row r="18" spans="1:28" x14ac:dyDescent="0.25">
      <c r="A18" s="378"/>
      <c r="B18" s="378"/>
      <c r="C18" s="378"/>
      <c r="D18" s="378"/>
      <c r="E18" s="378"/>
      <c r="F18" s="378"/>
      <c r="G18" s="378"/>
      <c r="H18" s="378"/>
      <c r="I18" s="378"/>
      <c r="J18" s="378"/>
      <c r="K18" s="378"/>
      <c r="L18" s="378"/>
      <c r="M18" s="378"/>
      <c r="N18" s="378"/>
      <c r="O18" s="378"/>
      <c r="P18" s="378"/>
      <c r="Q18" s="378"/>
      <c r="R18" s="378"/>
      <c r="S18" s="378"/>
      <c r="T18" s="378"/>
      <c r="U18" s="378"/>
      <c r="V18" s="378"/>
      <c r="W18" s="378"/>
      <c r="X18" s="378"/>
      <c r="Y18" s="378"/>
      <c r="Z18" s="378"/>
      <c r="AA18" s="122"/>
      <c r="AB18" s="122"/>
    </row>
    <row r="19" spans="1:28" x14ac:dyDescent="0.25">
      <c r="A19" s="378"/>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122"/>
      <c r="AB19" s="122"/>
    </row>
    <row r="20" spans="1:28" x14ac:dyDescent="0.25">
      <c r="A20" s="378"/>
      <c r="B20" s="378"/>
      <c r="C20" s="378"/>
      <c r="D20" s="378"/>
      <c r="E20" s="378"/>
      <c r="F20" s="378"/>
      <c r="G20" s="378"/>
      <c r="H20" s="378"/>
      <c r="I20" s="378"/>
      <c r="J20" s="378"/>
      <c r="K20" s="378"/>
      <c r="L20" s="378"/>
      <c r="M20" s="378"/>
      <c r="N20" s="378"/>
      <c r="O20" s="378"/>
      <c r="P20" s="378"/>
      <c r="Q20" s="378"/>
      <c r="R20" s="378"/>
      <c r="S20" s="378"/>
      <c r="T20" s="378"/>
      <c r="U20" s="378"/>
      <c r="V20" s="378"/>
      <c r="W20" s="378"/>
      <c r="X20" s="378"/>
      <c r="Y20" s="378"/>
      <c r="Z20" s="378"/>
      <c r="AA20" s="122"/>
      <c r="AB20" s="122"/>
    </row>
    <row r="21" spans="1:28" x14ac:dyDescent="0.25">
      <c r="A21" s="378"/>
      <c r="B21" s="378"/>
      <c r="C21" s="378"/>
      <c r="D21" s="378"/>
      <c r="E21" s="378"/>
      <c r="F21" s="378"/>
      <c r="G21" s="378"/>
      <c r="H21" s="378"/>
      <c r="I21" s="378"/>
      <c r="J21" s="378"/>
      <c r="K21" s="378"/>
      <c r="L21" s="378"/>
      <c r="M21" s="378"/>
      <c r="N21" s="378"/>
      <c r="O21" s="378"/>
      <c r="P21" s="378"/>
      <c r="Q21" s="378"/>
      <c r="R21" s="378"/>
      <c r="S21" s="378"/>
      <c r="T21" s="378"/>
      <c r="U21" s="378"/>
      <c r="V21" s="378"/>
      <c r="W21" s="378"/>
      <c r="X21" s="378"/>
      <c r="Y21" s="378"/>
      <c r="Z21" s="378"/>
      <c r="AA21" s="122"/>
      <c r="AB21" s="122"/>
    </row>
    <row r="22" spans="1:28" x14ac:dyDescent="0.25">
      <c r="A22" s="379" t="s">
        <v>412</v>
      </c>
      <c r="B22" s="379"/>
      <c r="C22" s="379"/>
      <c r="D22" s="379"/>
      <c r="E22" s="379"/>
      <c r="F22" s="379"/>
      <c r="G22" s="379"/>
      <c r="H22" s="379"/>
      <c r="I22" s="379"/>
      <c r="J22" s="379"/>
      <c r="K22" s="379"/>
      <c r="L22" s="379"/>
      <c r="M22" s="379"/>
      <c r="N22" s="379"/>
      <c r="O22" s="379"/>
      <c r="P22" s="379"/>
      <c r="Q22" s="379"/>
      <c r="R22" s="379"/>
      <c r="S22" s="379"/>
      <c r="T22" s="379"/>
      <c r="U22" s="379"/>
      <c r="V22" s="379"/>
      <c r="W22" s="379"/>
      <c r="X22" s="379"/>
      <c r="Y22" s="379"/>
      <c r="Z22" s="379"/>
      <c r="AA22" s="123"/>
      <c r="AB22" s="123"/>
    </row>
    <row r="23" spans="1:28" ht="32.25" customHeight="1" x14ac:dyDescent="0.25">
      <c r="A23" s="381" t="s">
        <v>295</v>
      </c>
      <c r="B23" s="382"/>
      <c r="C23" s="382"/>
      <c r="D23" s="382"/>
      <c r="E23" s="382"/>
      <c r="F23" s="382"/>
      <c r="G23" s="382"/>
      <c r="H23" s="382"/>
      <c r="I23" s="382"/>
      <c r="J23" s="382"/>
      <c r="K23" s="382"/>
      <c r="L23" s="383"/>
      <c r="M23" s="380" t="s">
        <v>296</v>
      </c>
      <c r="N23" s="380"/>
      <c r="O23" s="380"/>
      <c r="P23" s="380"/>
      <c r="Q23" s="380"/>
      <c r="R23" s="380"/>
      <c r="S23" s="380"/>
      <c r="T23" s="380"/>
      <c r="U23" s="380"/>
      <c r="V23" s="380"/>
      <c r="W23" s="380"/>
      <c r="X23" s="380"/>
      <c r="Y23" s="380"/>
      <c r="Z23" s="380"/>
    </row>
    <row r="24" spans="1:28" ht="151.5" customHeight="1" x14ac:dyDescent="0.25">
      <c r="A24" s="124" t="s">
        <v>210</v>
      </c>
      <c r="B24" s="125" t="s">
        <v>230</v>
      </c>
      <c r="C24" s="124" t="s">
        <v>293</v>
      </c>
      <c r="D24" s="124" t="s">
        <v>211</v>
      </c>
      <c r="E24" s="124" t="s">
        <v>294</v>
      </c>
      <c r="F24" s="124" t="s">
        <v>444</v>
      </c>
      <c r="G24" s="124" t="s">
        <v>445</v>
      </c>
      <c r="H24" s="124" t="s">
        <v>212</v>
      </c>
      <c r="I24" s="124" t="s">
        <v>446</v>
      </c>
      <c r="J24" s="124" t="s">
        <v>235</v>
      </c>
      <c r="K24" s="125" t="s">
        <v>229</v>
      </c>
      <c r="L24" s="125" t="s">
        <v>213</v>
      </c>
      <c r="M24" s="126" t="s">
        <v>242</v>
      </c>
      <c r="N24" s="125" t="s">
        <v>447</v>
      </c>
      <c r="O24" s="124" t="s">
        <v>448</v>
      </c>
      <c r="P24" s="124" t="s">
        <v>449</v>
      </c>
      <c r="Q24" s="124" t="s">
        <v>450</v>
      </c>
      <c r="R24" s="124" t="s">
        <v>212</v>
      </c>
      <c r="S24" s="124" t="s">
        <v>451</v>
      </c>
      <c r="T24" s="124" t="s">
        <v>452</v>
      </c>
      <c r="U24" s="124" t="s">
        <v>453</v>
      </c>
      <c r="V24" s="124" t="s">
        <v>450</v>
      </c>
      <c r="W24" s="127" t="s">
        <v>454</v>
      </c>
      <c r="X24" s="127" t="s">
        <v>455</v>
      </c>
      <c r="Y24" s="127" t="s">
        <v>456</v>
      </c>
      <c r="Z24" s="128" t="s">
        <v>247</v>
      </c>
    </row>
    <row r="25" spans="1:28" ht="16.5" customHeight="1" x14ac:dyDescent="0.25">
      <c r="A25" s="124">
        <v>1</v>
      </c>
      <c r="B25" s="125">
        <v>2</v>
      </c>
      <c r="C25" s="124">
        <v>3</v>
      </c>
      <c r="D25" s="125">
        <v>4</v>
      </c>
      <c r="E25" s="124">
        <v>5</v>
      </c>
      <c r="F25" s="125">
        <v>6</v>
      </c>
      <c r="G25" s="124">
        <v>7</v>
      </c>
      <c r="H25" s="125">
        <v>8</v>
      </c>
      <c r="I25" s="124">
        <v>9</v>
      </c>
      <c r="J25" s="125">
        <v>10</v>
      </c>
      <c r="K25" s="124">
        <v>11</v>
      </c>
      <c r="L25" s="125">
        <v>12</v>
      </c>
      <c r="M25" s="124">
        <v>13</v>
      </c>
      <c r="N25" s="125">
        <v>14</v>
      </c>
      <c r="O25" s="124">
        <v>15</v>
      </c>
      <c r="P25" s="125">
        <v>16</v>
      </c>
      <c r="Q25" s="124">
        <v>17</v>
      </c>
      <c r="R25" s="125">
        <v>18</v>
      </c>
      <c r="S25" s="124">
        <v>19</v>
      </c>
      <c r="T25" s="125">
        <v>20</v>
      </c>
      <c r="U25" s="124">
        <v>21</v>
      </c>
      <c r="V25" s="125">
        <v>22</v>
      </c>
      <c r="W25" s="124">
        <v>23</v>
      </c>
      <c r="X25" s="125">
        <v>24</v>
      </c>
      <c r="Y25" s="124">
        <v>25</v>
      </c>
      <c r="Z25" s="125">
        <v>26</v>
      </c>
    </row>
    <row r="26" spans="1:28" ht="45.75" customHeight="1" x14ac:dyDescent="0.25">
      <c r="A26" s="129" t="s">
        <v>291</v>
      </c>
      <c r="B26" s="129"/>
      <c r="C26" s="130" t="s">
        <v>457</v>
      </c>
      <c r="D26" s="130" t="s">
        <v>458</v>
      </c>
      <c r="E26" s="130" t="s">
        <v>459</v>
      </c>
      <c r="F26" s="130" t="s">
        <v>460</v>
      </c>
      <c r="G26" s="130" t="s">
        <v>461</v>
      </c>
      <c r="H26" s="130" t="s">
        <v>212</v>
      </c>
      <c r="I26" s="130" t="s">
        <v>462</v>
      </c>
      <c r="J26" s="130" t="s">
        <v>463</v>
      </c>
      <c r="K26" s="131"/>
      <c r="L26" s="130" t="s">
        <v>227</v>
      </c>
      <c r="M26" s="132" t="s">
        <v>240</v>
      </c>
      <c r="N26" s="131"/>
      <c r="O26" s="131"/>
      <c r="P26" s="131"/>
      <c r="Q26" s="131"/>
      <c r="R26" s="131"/>
      <c r="S26" s="131"/>
      <c r="T26" s="131"/>
      <c r="U26" s="131"/>
      <c r="V26" s="131"/>
      <c r="W26" s="131"/>
      <c r="X26" s="131"/>
      <c r="Y26" s="131"/>
      <c r="Z26" s="133" t="s">
        <v>248</v>
      </c>
    </row>
    <row r="27" spans="1:28" x14ac:dyDescent="0.25">
      <c r="A27" s="131" t="s">
        <v>214</v>
      </c>
      <c r="B27" s="131" t="s">
        <v>231</v>
      </c>
      <c r="C27" s="131" t="s">
        <v>215</v>
      </c>
      <c r="D27" s="131" t="s">
        <v>216</v>
      </c>
      <c r="E27" s="131" t="s">
        <v>243</v>
      </c>
      <c r="F27" s="130" t="s">
        <v>464</v>
      </c>
      <c r="G27" s="130" t="s">
        <v>465</v>
      </c>
      <c r="H27" s="131" t="s">
        <v>212</v>
      </c>
      <c r="I27" s="130" t="s">
        <v>466</v>
      </c>
      <c r="J27" s="130" t="s">
        <v>467</v>
      </c>
      <c r="K27" s="130" t="s">
        <v>223</v>
      </c>
      <c r="L27" s="131"/>
      <c r="M27" s="130" t="s">
        <v>241</v>
      </c>
      <c r="N27" s="131"/>
      <c r="O27" s="131"/>
      <c r="P27" s="131"/>
      <c r="Q27" s="131"/>
      <c r="R27" s="131"/>
      <c r="S27" s="131"/>
      <c r="T27" s="131"/>
      <c r="U27" s="131"/>
      <c r="V27" s="131"/>
      <c r="W27" s="131"/>
      <c r="X27" s="131"/>
      <c r="Y27" s="131"/>
      <c r="Z27" s="131"/>
    </row>
    <row r="28" spans="1:28" x14ac:dyDescent="0.25">
      <c r="A28" s="131" t="s">
        <v>214</v>
      </c>
      <c r="B28" s="131" t="s">
        <v>232</v>
      </c>
      <c r="C28" s="131" t="s">
        <v>217</v>
      </c>
      <c r="D28" s="131" t="s">
        <v>218</v>
      </c>
      <c r="E28" s="131" t="s">
        <v>244</v>
      </c>
      <c r="F28" s="130" t="s">
        <v>468</v>
      </c>
      <c r="G28" s="130" t="s">
        <v>469</v>
      </c>
      <c r="H28" s="131" t="s">
        <v>212</v>
      </c>
      <c r="I28" s="130" t="s">
        <v>236</v>
      </c>
      <c r="J28" s="130" t="s">
        <v>470</v>
      </c>
      <c r="K28" s="130" t="s">
        <v>224</v>
      </c>
      <c r="L28" s="134"/>
      <c r="M28" s="130" t="s">
        <v>0</v>
      </c>
      <c r="N28" s="130"/>
      <c r="O28" s="130"/>
      <c r="P28" s="130"/>
      <c r="Q28" s="130"/>
      <c r="R28" s="130"/>
      <c r="S28" s="130"/>
      <c r="T28" s="130"/>
      <c r="U28" s="130"/>
      <c r="V28" s="130"/>
      <c r="W28" s="130"/>
      <c r="X28" s="130"/>
      <c r="Y28" s="130"/>
      <c r="Z28" s="130"/>
    </row>
    <row r="29" spans="1:28" x14ac:dyDescent="0.25">
      <c r="A29" s="131" t="s">
        <v>214</v>
      </c>
      <c r="B29" s="131" t="s">
        <v>233</v>
      </c>
      <c r="C29" s="131" t="s">
        <v>219</v>
      </c>
      <c r="D29" s="131" t="s">
        <v>220</v>
      </c>
      <c r="E29" s="131" t="s">
        <v>245</v>
      </c>
      <c r="F29" s="130" t="s">
        <v>471</v>
      </c>
      <c r="G29" s="130" t="s">
        <v>472</v>
      </c>
      <c r="H29" s="131" t="s">
        <v>212</v>
      </c>
      <c r="I29" s="130" t="s">
        <v>237</v>
      </c>
      <c r="J29" s="130" t="s">
        <v>473</v>
      </c>
      <c r="K29" s="130" t="s">
        <v>225</v>
      </c>
      <c r="L29" s="134"/>
      <c r="M29" s="131"/>
      <c r="N29" s="131"/>
      <c r="O29" s="131"/>
      <c r="P29" s="131"/>
      <c r="Q29" s="131"/>
      <c r="R29" s="131"/>
      <c r="S29" s="131"/>
      <c r="T29" s="131"/>
      <c r="U29" s="131"/>
      <c r="V29" s="131"/>
      <c r="W29" s="131"/>
      <c r="X29" s="131"/>
      <c r="Y29" s="131"/>
      <c r="Z29" s="131"/>
    </row>
    <row r="30" spans="1:28" x14ac:dyDescent="0.25">
      <c r="A30" s="131" t="s">
        <v>214</v>
      </c>
      <c r="B30" s="131" t="s">
        <v>234</v>
      </c>
      <c r="C30" s="131" t="s">
        <v>221</v>
      </c>
      <c r="D30" s="131" t="s">
        <v>222</v>
      </c>
      <c r="E30" s="131" t="s">
        <v>246</v>
      </c>
      <c r="F30" s="130" t="s">
        <v>474</v>
      </c>
      <c r="G30" s="130" t="s">
        <v>475</v>
      </c>
      <c r="H30" s="131" t="s">
        <v>212</v>
      </c>
      <c r="I30" s="130" t="s">
        <v>238</v>
      </c>
      <c r="J30" s="130" t="s">
        <v>476</v>
      </c>
      <c r="K30" s="130" t="s">
        <v>226</v>
      </c>
      <c r="L30" s="134"/>
      <c r="M30" s="131"/>
      <c r="N30" s="131"/>
      <c r="O30" s="131"/>
      <c r="P30" s="131"/>
      <c r="Q30" s="131"/>
      <c r="R30" s="131"/>
      <c r="S30" s="131"/>
      <c r="T30" s="131"/>
      <c r="U30" s="131"/>
      <c r="V30" s="131"/>
      <c r="W30" s="131"/>
      <c r="X30" s="131"/>
      <c r="Y30" s="131"/>
      <c r="Z30" s="131"/>
    </row>
    <row r="31" spans="1:28" x14ac:dyDescent="0.25">
      <c r="A31" s="131" t="s">
        <v>0</v>
      </c>
      <c r="B31" s="131" t="s">
        <v>0</v>
      </c>
      <c r="C31" s="131" t="s">
        <v>0</v>
      </c>
      <c r="D31" s="131" t="s">
        <v>0</v>
      </c>
      <c r="E31" s="131" t="s">
        <v>0</v>
      </c>
      <c r="F31" s="131" t="s">
        <v>0</v>
      </c>
      <c r="G31" s="131" t="s">
        <v>0</v>
      </c>
      <c r="H31" s="131" t="s">
        <v>0</v>
      </c>
      <c r="I31" s="131" t="s">
        <v>0</v>
      </c>
      <c r="J31" s="131" t="s">
        <v>0</v>
      </c>
      <c r="K31" s="131" t="s">
        <v>0</v>
      </c>
      <c r="L31" s="134"/>
      <c r="M31" s="131"/>
      <c r="N31" s="131"/>
      <c r="O31" s="131"/>
      <c r="P31" s="131"/>
      <c r="Q31" s="131"/>
      <c r="R31" s="131"/>
      <c r="S31" s="131"/>
      <c r="T31" s="131"/>
      <c r="U31" s="131"/>
      <c r="V31" s="131"/>
      <c r="W31" s="131"/>
      <c r="X31" s="131"/>
      <c r="Y31" s="131"/>
      <c r="Z31" s="131"/>
    </row>
    <row r="32" spans="1:28" ht="30" x14ac:dyDescent="0.25">
      <c r="A32" s="129" t="s">
        <v>292</v>
      </c>
      <c r="B32" s="129"/>
      <c r="C32" s="130" t="s">
        <v>477</v>
      </c>
      <c r="D32" s="130" t="s">
        <v>478</v>
      </c>
      <c r="E32" s="130" t="s">
        <v>479</v>
      </c>
      <c r="F32" s="130" t="s">
        <v>480</v>
      </c>
      <c r="G32" s="130" t="s">
        <v>481</v>
      </c>
      <c r="H32" s="130" t="s">
        <v>212</v>
      </c>
      <c r="I32" s="130" t="s">
        <v>482</v>
      </c>
      <c r="J32" s="130" t="s">
        <v>483</v>
      </c>
      <c r="K32" s="131"/>
      <c r="L32" s="131"/>
      <c r="M32" s="131"/>
      <c r="N32" s="131"/>
      <c r="O32" s="131"/>
      <c r="P32" s="131"/>
      <c r="Q32" s="131"/>
      <c r="R32" s="131"/>
      <c r="S32" s="131"/>
      <c r="T32" s="131"/>
      <c r="U32" s="131"/>
      <c r="V32" s="131"/>
      <c r="W32" s="131"/>
      <c r="X32" s="131"/>
      <c r="Y32" s="131"/>
      <c r="Z32" s="131"/>
    </row>
    <row r="33" spans="1:26" x14ac:dyDescent="0.25">
      <c r="A33" s="131" t="s">
        <v>0</v>
      </c>
      <c r="B33" s="131" t="s">
        <v>0</v>
      </c>
      <c r="C33" s="131" t="s">
        <v>0</v>
      </c>
      <c r="D33" s="131" t="s">
        <v>0</v>
      </c>
      <c r="E33" s="131" t="s">
        <v>0</v>
      </c>
      <c r="F33" s="131" t="s">
        <v>0</v>
      </c>
      <c r="G33" s="131" t="s">
        <v>0</v>
      </c>
      <c r="H33" s="131" t="s">
        <v>0</v>
      </c>
      <c r="I33" s="131" t="s">
        <v>0</v>
      </c>
      <c r="J33" s="131" t="s">
        <v>0</v>
      </c>
      <c r="K33" s="131" t="s">
        <v>0</v>
      </c>
      <c r="L33" s="131"/>
      <c r="M33" s="131"/>
      <c r="N33" s="131"/>
      <c r="O33" s="131"/>
      <c r="P33" s="131"/>
      <c r="Q33" s="131"/>
      <c r="R33" s="131"/>
      <c r="S33" s="131"/>
      <c r="T33" s="131"/>
      <c r="U33" s="131"/>
      <c r="V33" s="131"/>
      <c r="W33" s="131"/>
      <c r="X33" s="131"/>
      <c r="Y33" s="131"/>
      <c r="Z33" s="131"/>
    </row>
    <row r="37" spans="1:26" x14ac:dyDescent="0.25">
      <c r="A37" s="135"/>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4" customWidth="1"/>
    <col min="2" max="2" width="25.5703125" style="114" customWidth="1"/>
    <col min="3" max="3" width="71.28515625" style="114" customWidth="1"/>
    <col min="4" max="4" width="16.140625" style="114" customWidth="1"/>
    <col min="5" max="5" width="9.42578125" style="114" customWidth="1"/>
    <col min="6" max="6" width="8.7109375" style="114" customWidth="1"/>
    <col min="7" max="7" width="9" style="114" customWidth="1"/>
    <col min="8" max="8" width="8.42578125" style="114" customWidth="1"/>
    <col min="9" max="9" width="33.85546875" style="114" customWidth="1"/>
    <col min="10" max="11" width="19.140625" style="114" customWidth="1"/>
    <col min="12" max="12" width="16" style="114" customWidth="1"/>
    <col min="13" max="13" width="14.85546875" style="114" customWidth="1"/>
    <col min="14" max="14" width="16.28515625" style="114" customWidth="1"/>
    <col min="15" max="16384" width="9.140625" style="114"/>
  </cols>
  <sheetData>
    <row r="1" spans="1:28" s="13" customFormat="1" ht="18.75" customHeight="1" x14ac:dyDescent="0.2">
      <c r="O1" s="20" t="s">
        <v>66</v>
      </c>
    </row>
    <row r="2" spans="1:28" s="13" customFormat="1" ht="18.75" customHeight="1" x14ac:dyDescent="0.3">
      <c r="O2" s="11" t="s">
        <v>8</v>
      </c>
    </row>
    <row r="3" spans="1:28" s="13" customFormat="1" ht="18.75" x14ac:dyDescent="0.3">
      <c r="A3" s="102"/>
      <c r="B3" s="102"/>
      <c r="O3" s="11" t="s">
        <v>65</v>
      </c>
    </row>
    <row r="4" spans="1:28" s="13" customFormat="1" ht="18.75" x14ac:dyDescent="0.3">
      <c r="A4" s="102"/>
      <c r="B4" s="102"/>
      <c r="L4" s="11"/>
    </row>
    <row r="5" spans="1:28" s="13" customFormat="1" ht="15.75" x14ac:dyDescent="0.2">
      <c r="A5" s="331" t="str">
        <f>'1. паспорт местоположение'!A5:C5</f>
        <v>Год раскрытия информации: 2024 год</v>
      </c>
      <c r="B5" s="331"/>
      <c r="C5" s="331"/>
      <c r="D5" s="331"/>
      <c r="E5" s="331"/>
      <c r="F5" s="331"/>
      <c r="G5" s="331"/>
      <c r="H5" s="331"/>
      <c r="I5" s="331"/>
      <c r="J5" s="331"/>
      <c r="K5" s="331"/>
      <c r="L5" s="331"/>
      <c r="M5" s="331"/>
      <c r="N5" s="331"/>
      <c r="O5" s="331"/>
      <c r="P5" s="83"/>
      <c r="Q5" s="83"/>
      <c r="R5" s="83"/>
      <c r="S5" s="83"/>
      <c r="T5" s="83"/>
      <c r="U5" s="83"/>
      <c r="V5" s="83"/>
      <c r="W5" s="83"/>
      <c r="X5" s="83"/>
      <c r="Y5" s="83"/>
      <c r="Z5" s="83"/>
      <c r="AA5" s="83"/>
      <c r="AB5" s="83"/>
    </row>
    <row r="6" spans="1:28" s="13" customFormat="1" ht="18.75" x14ac:dyDescent="0.3">
      <c r="A6" s="102"/>
      <c r="B6" s="102"/>
      <c r="L6" s="11"/>
    </row>
    <row r="7" spans="1:28" s="13" customFormat="1" ht="18.75" x14ac:dyDescent="0.2">
      <c r="A7" s="340" t="s">
        <v>7</v>
      </c>
      <c r="B7" s="340"/>
      <c r="C7" s="340"/>
      <c r="D7" s="340"/>
      <c r="E7" s="340"/>
      <c r="F7" s="340"/>
      <c r="G7" s="340"/>
      <c r="H7" s="340"/>
      <c r="I7" s="340"/>
      <c r="J7" s="340"/>
      <c r="K7" s="340"/>
      <c r="L7" s="340"/>
      <c r="M7" s="340"/>
      <c r="N7" s="340"/>
      <c r="O7" s="340"/>
      <c r="P7" s="104"/>
      <c r="Q7" s="104"/>
      <c r="R7" s="104"/>
      <c r="S7" s="104"/>
      <c r="T7" s="104"/>
      <c r="U7" s="104"/>
      <c r="V7" s="104"/>
      <c r="W7" s="104"/>
      <c r="X7" s="104"/>
      <c r="Y7" s="104"/>
      <c r="Z7" s="104"/>
    </row>
    <row r="8" spans="1:28" s="13" customFormat="1" ht="18.75" x14ac:dyDescent="0.2">
      <c r="A8" s="340"/>
      <c r="B8" s="340"/>
      <c r="C8" s="340"/>
      <c r="D8" s="340"/>
      <c r="E8" s="340"/>
      <c r="F8" s="340"/>
      <c r="G8" s="340"/>
      <c r="H8" s="340"/>
      <c r="I8" s="340"/>
      <c r="J8" s="340"/>
      <c r="K8" s="340"/>
      <c r="L8" s="340"/>
      <c r="M8" s="340"/>
      <c r="N8" s="340"/>
      <c r="O8" s="340"/>
      <c r="P8" s="104"/>
      <c r="Q8" s="104"/>
      <c r="R8" s="104"/>
      <c r="S8" s="104"/>
      <c r="T8" s="104"/>
      <c r="U8" s="104"/>
      <c r="V8" s="104"/>
      <c r="W8" s="104"/>
      <c r="X8" s="104"/>
      <c r="Y8" s="104"/>
      <c r="Z8" s="104"/>
    </row>
    <row r="9" spans="1:28" s="13" customFormat="1" ht="18.75" x14ac:dyDescent="0.2">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c r="L9" s="338"/>
      <c r="M9" s="338"/>
      <c r="N9" s="338"/>
      <c r="O9" s="338"/>
      <c r="P9" s="104"/>
      <c r="Q9" s="104"/>
      <c r="R9" s="104"/>
      <c r="S9" s="104"/>
      <c r="T9" s="104"/>
      <c r="U9" s="104"/>
      <c r="V9" s="104"/>
      <c r="W9" s="104"/>
      <c r="X9" s="104"/>
      <c r="Y9" s="104"/>
      <c r="Z9" s="104"/>
    </row>
    <row r="10" spans="1:28" s="13" customFormat="1" ht="18.75" x14ac:dyDescent="0.2">
      <c r="A10" s="344" t="s">
        <v>6</v>
      </c>
      <c r="B10" s="344"/>
      <c r="C10" s="344"/>
      <c r="D10" s="344"/>
      <c r="E10" s="344"/>
      <c r="F10" s="344"/>
      <c r="G10" s="344"/>
      <c r="H10" s="344"/>
      <c r="I10" s="344"/>
      <c r="J10" s="344"/>
      <c r="K10" s="344"/>
      <c r="L10" s="344"/>
      <c r="M10" s="344"/>
      <c r="N10" s="344"/>
      <c r="O10" s="344"/>
      <c r="P10" s="104"/>
      <c r="Q10" s="104"/>
      <c r="R10" s="104"/>
      <c r="S10" s="104"/>
      <c r="T10" s="104"/>
      <c r="U10" s="104"/>
      <c r="V10" s="104"/>
      <c r="W10" s="104"/>
      <c r="X10" s="104"/>
      <c r="Y10" s="104"/>
      <c r="Z10" s="104"/>
    </row>
    <row r="11" spans="1:28" s="13" customFormat="1" ht="18.75" x14ac:dyDescent="0.2">
      <c r="A11" s="340"/>
      <c r="B11" s="340"/>
      <c r="C11" s="340"/>
      <c r="D11" s="340"/>
      <c r="E11" s="340"/>
      <c r="F11" s="340"/>
      <c r="G11" s="340"/>
      <c r="H11" s="340"/>
      <c r="I11" s="340"/>
      <c r="J11" s="340"/>
      <c r="K11" s="340"/>
      <c r="L11" s="340"/>
      <c r="M11" s="340"/>
      <c r="N11" s="340"/>
      <c r="O11" s="340"/>
      <c r="P11" s="104"/>
      <c r="Q11" s="104"/>
      <c r="R11" s="104"/>
      <c r="S11" s="104"/>
      <c r="T11" s="104"/>
      <c r="U11" s="104"/>
      <c r="V11" s="104"/>
      <c r="W11" s="104"/>
      <c r="X11" s="104"/>
      <c r="Y11" s="104"/>
      <c r="Z11" s="104"/>
    </row>
    <row r="12" spans="1:28" s="13" customFormat="1" ht="18.75" x14ac:dyDescent="0.2">
      <c r="A12" s="338" t="str">
        <f>'1. паспорт местоположение'!A12:C12</f>
        <v>O 24-35</v>
      </c>
      <c r="B12" s="338"/>
      <c r="C12" s="338"/>
      <c r="D12" s="338"/>
      <c r="E12" s="338"/>
      <c r="F12" s="338"/>
      <c r="G12" s="338"/>
      <c r="H12" s="338"/>
      <c r="I12" s="338"/>
      <c r="J12" s="338"/>
      <c r="K12" s="338"/>
      <c r="L12" s="338"/>
      <c r="M12" s="338"/>
      <c r="N12" s="338"/>
      <c r="O12" s="338"/>
      <c r="P12" s="104"/>
      <c r="Q12" s="104"/>
      <c r="R12" s="104"/>
      <c r="S12" s="104"/>
      <c r="T12" s="104"/>
      <c r="U12" s="104"/>
      <c r="V12" s="104"/>
      <c r="W12" s="104"/>
      <c r="X12" s="104"/>
      <c r="Y12" s="104"/>
      <c r="Z12" s="104"/>
    </row>
    <row r="13" spans="1:28" s="13" customFormat="1" ht="18.75" x14ac:dyDescent="0.2">
      <c r="A13" s="344" t="s">
        <v>5</v>
      </c>
      <c r="B13" s="344"/>
      <c r="C13" s="344"/>
      <c r="D13" s="344"/>
      <c r="E13" s="344"/>
      <c r="F13" s="344"/>
      <c r="G13" s="344"/>
      <c r="H13" s="344"/>
      <c r="I13" s="344"/>
      <c r="J13" s="344"/>
      <c r="K13" s="344"/>
      <c r="L13" s="344"/>
      <c r="M13" s="344"/>
      <c r="N13" s="344"/>
      <c r="O13" s="344"/>
      <c r="P13" s="104"/>
      <c r="Q13" s="104"/>
      <c r="R13" s="104"/>
      <c r="S13" s="104"/>
      <c r="T13" s="104"/>
      <c r="U13" s="104"/>
      <c r="V13" s="104"/>
      <c r="W13" s="104"/>
      <c r="X13" s="104"/>
      <c r="Y13" s="104"/>
      <c r="Z13" s="104"/>
    </row>
    <row r="14" spans="1:28" s="13" customFormat="1" ht="15.75" customHeight="1" x14ac:dyDescent="0.2">
      <c r="A14" s="345"/>
      <c r="B14" s="345"/>
      <c r="C14" s="345"/>
      <c r="D14" s="345"/>
      <c r="E14" s="345"/>
      <c r="F14" s="345"/>
      <c r="G14" s="345"/>
      <c r="H14" s="345"/>
      <c r="I14" s="345"/>
      <c r="J14" s="345"/>
      <c r="K14" s="345"/>
      <c r="L14" s="345"/>
      <c r="M14" s="345"/>
      <c r="N14" s="345"/>
      <c r="O14" s="345"/>
      <c r="P14" s="105"/>
      <c r="Q14" s="105"/>
      <c r="R14" s="105"/>
      <c r="S14" s="105"/>
      <c r="T14" s="105"/>
      <c r="U14" s="105"/>
      <c r="V14" s="105"/>
      <c r="W14" s="105"/>
      <c r="X14" s="105"/>
      <c r="Y14" s="105"/>
      <c r="Z14" s="105"/>
    </row>
    <row r="15" spans="1:28" s="103" customFormat="1" ht="15.75" x14ac:dyDescent="0.2">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c r="L15" s="338"/>
      <c r="M15" s="338"/>
      <c r="N15" s="338"/>
      <c r="O15" s="338"/>
      <c r="P15" s="106"/>
      <c r="Q15" s="106"/>
      <c r="R15" s="106"/>
      <c r="S15" s="106"/>
      <c r="T15" s="106"/>
      <c r="U15" s="106"/>
      <c r="V15" s="106"/>
      <c r="W15" s="106"/>
      <c r="X15" s="106"/>
      <c r="Y15" s="106"/>
      <c r="Z15" s="106"/>
    </row>
    <row r="16" spans="1:28" s="103" customFormat="1" ht="15" customHeight="1" x14ac:dyDescent="0.2">
      <c r="A16" s="344" t="s">
        <v>4</v>
      </c>
      <c r="B16" s="344"/>
      <c r="C16" s="344"/>
      <c r="D16" s="344"/>
      <c r="E16" s="344"/>
      <c r="F16" s="344"/>
      <c r="G16" s="344"/>
      <c r="H16" s="344"/>
      <c r="I16" s="344"/>
      <c r="J16" s="344"/>
      <c r="K16" s="344"/>
      <c r="L16" s="344"/>
      <c r="M16" s="344"/>
      <c r="N16" s="344"/>
      <c r="O16" s="344"/>
      <c r="P16" s="107"/>
      <c r="Q16" s="107"/>
      <c r="R16" s="107"/>
      <c r="S16" s="107"/>
      <c r="T16" s="107"/>
      <c r="U16" s="107"/>
      <c r="V16" s="107"/>
      <c r="W16" s="107"/>
      <c r="X16" s="107"/>
      <c r="Y16" s="107"/>
      <c r="Z16" s="107"/>
    </row>
    <row r="17" spans="1:26" s="103" customFormat="1" ht="15" customHeight="1" x14ac:dyDescent="0.2">
      <c r="A17" s="345"/>
      <c r="B17" s="345"/>
      <c r="C17" s="345"/>
      <c r="D17" s="345"/>
      <c r="E17" s="345"/>
      <c r="F17" s="345"/>
      <c r="G17" s="345"/>
      <c r="H17" s="345"/>
      <c r="I17" s="345"/>
      <c r="J17" s="345"/>
      <c r="K17" s="345"/>
      <c r="L17" s="345"/>
      <c r="M17" s="345"/>
      <c r="N17" s="345"/>
      <c r="O17" s="345"/>
      <c r="P17" s="105"/>
      <c r="Q17" s="105"/>
      <c r="R17" s="105"/>
      <c r="S17" s="105"/>
      <c r="T17" s="105"/>
      <c r="U17" s="105"/>
      <c r="V17" s="105"/>
      <c r="W17" s="105"/>
    </row>
    <row r="18" spans="1:26" s="103" customFormat="1" ht="91.5" customHeight="1" x14ac:dyDescent="0.2">
      <c r="A18" s="384" t="s">
        <v>390</v>
      </c>
      <c r="B18" s="384"/>
      <c r="C18" s="384"/>
      <c r="D18" s="384"/>
      <c r="E18" s="384"/>
      <c r="F18" s="384"/>
      <c r="G18" s="384"/>
      <c r="H18" s="384"/>
      <c r="I18" s="384"/>
      <c r="J18" s="384"/>
      <c r="K18" s="384"/>
      <c r="L18" s="384"/>
      <c r="M18" s="384"/>
      <c r="N18" s="384"/>
      <c r="O18" s="384"/>
      <c r="P18" s="108"/>
      <c r="Q18" s="108"/>
      <c r="R18" s="108"/>
      <c r="S18" s="108"/>
      <c r="T18" s="108"/>
      <c r="U18" s="108"/>
      <c r="V18" s="108"/>
      <c r="W18" s="108"/>
      <c r="X18" s="108"/>
      <c r="Y18" s="108"/>
      <c r="Z18" s="108"/>
    </row>
    <row r="19" spans="1:26" s="103" customFormat="1" ht="78" customHeight="1" x14ac:dyDescent="0.2">
      <c r="A19" s="385" t="s">
        <v>3</v>
      </c>
      <c r="B19" s="385" t="s">
        <v>82</v>
      </c>
      <c r="C19" s="385" t="s">
        <v>81</v>
      </c>
      <c r="D19" s="385" t="s">
        <v>73</v>
      </c>
      <c r="E19" s="386" t="s">
        <v>80</v>
      </c>
      <c r="F19" s="387"/>
      <c r="G19" s="387"/>
      <c r="H19" s="387"/>
      <c r="I19" s="388"/>
      <c r="J19" s="385" t="s">
        <v>79</v>
      </c>
      <c r="K19" s="385"/>
      <c r="L19" s="385"/>
      <c r="M19" s="385"/>
      <c r="N19" s="385"/>
      <c r="O19" s="385"/>
      <c r="P19" s="105"/>
      <c r="Q19" s="105"/>
      <c r="R19" s="105"/>
      <c r="S19" s="105"/>
      <c r="T19" s="105"/>
      <c r="U19" s="105"/>
      <c r="V19" s="105"/>
      <c r="W19" s="105"/>
    </row>
    <row r="20" spans="1:26" s="103" customFormat="1" ht="51" customHeight="1" x14ac:dyDescent="0.2">
      <c r="A20" s="385"/>
      <c r="B20" s="385"/>
      <c r="C20" s="385"/>
      <c r="D20" s="385"/>
      <c r="E20" s="171" t="s">
        <v>78</v>
      </c>
      <c r="F20" s="171" t="s">
        <v>77</v>
      </c>
      <c r="G20" s="171" t="s">
        <v>76</v>
      </c>
      <c r="H20" s="171" t="s">
        <v>75</v>
      </c>
      <c r="I20" s="171" t="s">
        <v>74</v>
      </c>
      <c r="J20" s="171">
        <v>2018</v>
      </c>
      <c r="K20" s="171">
        <v>2019</v>
      </c>
      <c r="L20" s="171">
        <v>2020</v>
      </c>
      <c r="M20" s="171">
        <v>2021</v>
      </c>
      <c r="N20" s="171">
        <v>2022</v>
      </c>
      <c r="O20" s="171">
        <v>2023</v>
      </c>
      <c r="P20" s="105"/>
      <c r="Q20" s="105"/>
      <c r="R20" s="105"/>
      <c r="S20" s="105"/>
      <c r="T20" s="105"/>
      <c r="U20" s="105"/>
      <c r="V20" s="105"/>
      <c r="W20" s="105"/>
    </row>
    <row r="21" spans="1:26" s="103" customFormat="1" ht="16.5" customHeight="1" x14ac:dyDescent="0.2">
      <c r="A21" s="18">
        <v>1</v>
      </c>
      <c r="B21" s="19">
        <v>2</v>
      </c>
      <c r="C21" s="18">
        <v>3</v>
      </c>
      <c r="D21" s="19">
        <v>4</v>
      </c>
      <c r="E21" s="18">
        <v>5</v>
      </c>
      <c r="F21" s="19">
        <v>6</v>
      </c>
      <c r="G21" s="18">
        <v>7</v>
      </c>
      <c r="H21" s="19">
        <v>8</v>
      </c>
      <c r="I21" s="18">
        <v>9</v>
      </c>
      <c r="J21" s="19">
        <v>10</v>
      </c>
      <c r="K21" s="18">
        <v>11</v>
      </c>
      <c r="L21" s="19">
        <v>12</v>
      </c>
      <c r="M21" s="18">
        <v>13</v>
      </c>
      <c r="N21" s="19">
        <v>14</v>
      </c>
      <c r="O21" s="18">
        <v>15</v>
      </c>
      <c r="P21" s="105"/>
      <c r="Q21" s="105"/>
      <c r="R21" s="105"/>
      <c r="S21" s="105"/>
      <c r="T21" s="105"/>
      <c r="U21" s="105"/>
      <c r="V21" s="105"/>
      <c r="W21" s="105"/>
    </row>
    <row r="22" spans="1:26" s="103" customFormat="1" ht="18.75" x14ac:dyDescent="0.2">
      <c r="A22" s="14" t="s">
        <v>62</v>
      </c>
      <c r="B22" s="172" t="s">
        <v>543</v>
      </c>
      <c r="C22" s="16">
        <v>0</v>
      </c>
      <c r="D22" s="16">
        <v>0</v>
      </c>
      <c r="E22" s="16">
        <v>0</v>
      </c>
      <c r="F22" s="16">
        <v>0</v>
      </c>
      <c r="G22" s="16">
        <v>0</v>
      </c>
      <c r="H22" s="16">
        <v>0</v>
      </c>
      <c r="I22" s="16">
        <v>0</v>
      </c>
      <c r="J22" s="173">
        <v>0</v>
      </c>
      <c r="K22" s="173">
        <v>0</v>
      </c>
      <c r="L22" s="174">
        <v>0</v>
      </c>
      <c r="M22" s="174">
        <v>0</v>
      </c>
      <c r="N22" s="174">
        <v>0</v>
      </c>
      <c r="O22" s="174">
        <v>0</v>
      </c>
      <c r="P22" s="105"/>
      <c r="Q22" s="105"/>
      <c r="R22" s="105"/>
      <c r="S22" s="105"/>
      <c r="T22" s="105"/>
      <c r="U22" s="105"/>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opLeftCell="A21" workbookViewId="0">
      <selection activeCell="D32" sqref="D32"/>
    </sheetView>
  </sheetViews>
  <sheetFormatPr defaultRowHeight="12.75" x14ac:dyDescent="0.2"/>
  <cols>
    <col min="1" max="1" width="66.140625" style="197" customWidth="1"/>
    <col min="2" max="2" width="17.140625" style="197" customWidth="1"/>
    <col min="3" max="3" width="13.85546875" style="197" customWidth="1"/>
    <col min="4" max="5" width="13.5703125" style="197" customWidth="1"/>
    <col min="6" max="6" width="14.5703125" style="197" customWidth="1"/>
    <col min="7" max="7" width="13.42578125" style="197" customWidth="1"/>
    <col min="8" max="11" width="15.42578125" style="197" customWidth="1"/>
    <col min="12" max="13" width="15.42578125" style="197" hidden="1" customWidth="1"/>
    <col min="14" max="14" width="15.42578125" style="269" hidden="1" customWidth="1"/>
    <col min="15" max="19" width="15.42578125" style="197" hidden="1" customWidth="1"/>
    <col min="20" max="29" width="17.28515625" style="197" hidden="1" customWidth="1"/>
    <col min="30" max="31" width="17.28515625" style="187" hidden="1" customWidth="1"/>
    <col min="32" max="35" width="9.140625" style="187" customWidth="1"/>
    <col min="36" max="16384" width="9.140625" style="187"/>
  </cols>
  <sheetData>
    <row r="1" spans="1:45" x14ac:dyDescent="0.2">
      <c r="A1" s="184"/>
      <c r="B1" s="185"/>
      <c r="C1" s="185"/>
      <c r="D1" s="185"/>
      <c r="E1" s="185"/>
      <c r="F1" s="185"/>
      <c r="G1" s="185"/>
      <c r="H1" s="185"/>
      <c r="I1" s="185"/>
      <c r="J1" s="185"/>
      <c r="K1" s="186"/>
      <c r="L1" s="185"/>
      <c r="M1" s="185"/>
      <c r="N1" s="185"/>
      <c r="O1" s="185"/>
      <c r="P1" s="186" t="s">
        <v>66</v>
      </c>
      <c r="Q1" s="185"/>
      <c r="R1" s="185"/>
      <c r="S1" s="185"/>
      <c r="T1" s="185"/>
      <c r="U1" s="185"/>
      <c r="V1" s="185"/>
      <c r="W1" s="185"/>
      <c r="X1" s="185"/>
      <c r="Y1" s="185"/>
      <c r="Z1" s="185"/>
      <c r="AA1" s="185"/>
      <c r="AB1" s="185"/>
      <c r="AC1" s="185"/>
      <c r="AD1" s="185"/>
      <c r="AE1" s="185"/>
      <c r="AF1" s="185"/>
      <c r="AG1" s="185"/>
      <c r="AH1" s="185"/>
      <c r="AI1" s="185"/>
      <c r="AJ1" s="185"/>
      <c r="AK1" s="185"/>
      <c r="AL1" s="185"/>
      <c r="AM1" s="185"/>
      <c r="AN1" s="185"/>
      <c r="AP1" s="188"/>
      <c r="AQ1" s="188"/>
      <c r="AR1" s="189"/>
      <c r="AS1" s="189"/>
    </row>
    <row r="2" spans="1:45" x14ac:dyDescent="0.2">
      <c r="A2" s="184"/>
      <c r="B2" s="185"/>
      <c r="C2" s="185"/>
      <c r="D2" s="185"/>
      <c r="E2" s="185"/>
      <c r="F2" s="185"/>
      <c r="G2" s="185"/>
      <c r="H2" s="185"/>
      <c r="I2" s="185"/>
      <c r="J2" s="185"/>
      <c r="K2" s="190"/>
      <c r="L2" s="185"/>
      <c r="M2" s="185"/>
      <c r="N2" s="185"/>
      <c r="O2" s="185"/>
      <c r="P2" s="190" t="s">
        <v>8</v>
      </c>
      <c r="Q2" s="185"/>
      <c r="R2" s="185"/>
      <c r="S2" s="185"/>
      <c r="T2" s="185"/>
      <c r="U2" s="185"/>
      <c r="V2" s="185"/>
      <c r="W2" s="185"/>
      <c r="X2" s="185"/>
      <c r="Y2" s="185"/>
      <c r="Z2" s="185"/>
      <c r="AA2" s="185"/>
      <c r="AB2" s="185"/>
      <c r="AC2" s="185"/>
      <c r="AD2" s="185"/>
      <c r="AE2" s="185"/>
      <c r="AF2" s="185"/>
      <c r="AG2" s="185"/>
      <c r="AH2" s="185"/>
      <c r="AI2" s="185"/>
      <c r="AJ2" s="185"/>
      <c r="AK2" s="185"/>
      <c r="AL2" s="185"/>
      <c r="AM2" s="185"/>
      <c r="AN2" s="185"/>
      <c r="AP2" s="188"/>
      <c r="AQ2" s="188"/>
      <c r="AR2" s="189"/>
      <c r="AS2" s="189"/>
    </row>
    <row r="3" spans="1:45" x14ac:dyDescent="0.2">
      <c r="A3" s="191"/>
      <c r="B3" s="185"/>
      <c r="C3" s="185"/>
      <c r="D3" s="185"/>
      <c r="E3" s="185"/>
      <c r="F3" s="185"/>
      <c r="G3" s="185"/>
      <c r="H3" s="185"/>
      <c r="I3" s="185"/>
      <c r="J3" s="185"/>
      <c r="K3" s="190"/>
      <c r="L3" s="185"/>
      <c r="M3" s="185"/>
      <c r="N3" s="185"/>
      <c r="O3" s="185"/>
      <c r="P3" s="190" t="s">
        <v>442</v>
      </c>
      <c r="Q3" s="185"/>
      <c r="R3" s="185"/>
      <c r="S3" s="185"/>
      <c r="T3" s="185"/>
      <c r="U3" s="185"/>
      <c r="V3" s="185"/>
      <c r="W3" s="185"/>
      <c r="X3" s="185"/>
      <c r="Y3" s="185"/>
      <c r="Z3" s="185"/>
      <c r="AA3" s="185"/>
      <c r="AB3" s="185"/>
      <c r="AC3" s="185"/>
      <c r="AD3" s="185"/>
      <c r="AE3" s="185"/>
      <c r="AF3" s="185"/>
      <c r="AG3" s="185"/>
      <c r="AH3" s="185"/>
      <c r="AI3" s="185"/>
      <c r="AJ3" s="185"/>
      <c r="AK3" s="185"/>
      <c r="AL3" s="185"/>
      <c r="AM3" s="185"/>
      <c r="AN3" s="185"/>
      <c r="AP3" s="188"/>
      <c r="AQ3" s="188"/>
      <c r="AR3" s="189"/>
      <c r="AS3" s="189"/>
    </row>
    <row r="4" spans="1:45" x14ac:dyDescent="0.2">
      <c r="A4" s="192"/>
      <c r="B4" s="184"/>
      <c r="C4" s="184"/>
      <c r="D4" s="184"/>
      <c r="E4" s="184"/>
      <c r="F4" s="184"/>
      <c r="G4" s="184"/>
      <c r="H4" s="184"/>
      <c r="I4" s="184"/>
      <c r="J4" s="184"/>
      <c r="K4" s="190"/>
      <c r="L4" s="184"/>
      <c r="M4" s="184"/>
      <c r="N4" s="184"/>
      <c r="O4" s="184"/>
      <c r="P4" s="184"/>
      <c r="Q4" s="185"/>
      <c r="R4" s="185"/>
      <c r="S4" s="185"/>
      <c r="T4" s="185"/>
      <c r="U4" s="185"/>
      <c r="V4" s="185"/>
      <c r="W4" s="185"/>
      <c r="X4" s="185"/>
      <c r="Y4" s="185"/>
      <c r="Z4" s="185"/>
      <c r="AA4" s="185"/>
      <c r="AB4" s="185"/>
      <c r="AC4" s="185"/>
      <c r="AD4" s="185"/>
      <c r="AE4" s="185"/>
      <c r="AF4" s="185"/>
      <c r="AG4" s="185"/>
      <c r="AH4" s="185"/>
      <c r="AI4" s="185"/>
      <c r="AJ4" s="185"/>
      <c r="AK4" s="185"/>
      <c r="AL4" s="185"/>
      <c r="AM4" s="185"/>
      <c r="AN4" s="185"/>
      <c r="AO4" s="185"/>
      <c r="AP4" s="188"/>
      <c r="AQ4" s="188"/>
      <c r="AR4" s="189"/>
      <c r="AS4" s="189"/>
    </row>
    <row r="5" spans="1:45" x14ac:dyDescent="0.2">
      <c r="A5" s="397" t="str">
        <f>'1. паспорт местоположение'!A5:C5</f>
        <v>Год раскрытия информации: 2024 год</v>
      </c>
      <c r="B5" s="397"/>
      <c r="C5" s="397"/>
      <c r="D5" s="397"/>
      <c r="E5" s="397"/>
      <c r="F5" s="397"/>
      <c r="G5" s="397"/>
      <c r="H5" s="397"/>
      <c r="I5" s="397"/>
      <c r="J5" s="397"/>
      <c r="K5" s="397"/>
      <c r="L5" s="397"/>
      <c r="M5" s="397"/>
      <c r="N5" s="397"/>
      <c r="O5" s="397"/>
      <c r="P5" s="397"/>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88"/>
      <c r="AQ5" s="188"/>
      <c r="AR5" s="189"/>
      <c r="AS5" s="189"/>
    </row>
    <row r="6" spans="1:45" x14ac:dyDescent="0.2">
      <c r="A6" s="192"/>
      <c r="B6" s="184"/>
      <c r="C6" s="184"/>
      <c r="D6" s="184"/>
      <c r="E6" s="184"/>
      <c r="F6" s="184"/>
      <c r="G6" s="184"/>
      <c r="H6" s="184"/>
      <c r="I6" s="184"/>
      <c r="J6" s="184"/>
      <c r="K6" s="190"/>
      <c r="L6" s="184"/>
      <c r="M6" s="184"/>
      <c r="N6" s="184"/>
      <c r="O6" s="184"/>
      <c r="P6" s="184"/>
      <c r="Q6" s="185"/>
      <c r="R6" s="185"/>
      <c r="S6" s="185"/>
      <c r="T6" s="185"/>
      <c r="U6" s="185"/>
      <c r="V6" s="185"/>
      <c r="W6" s="185"/>
      <c r="X6" s="185"/>
      <c r="Y6" s="185"/>
      <c r="Z6" s="185"/>
      <c r="AA6" s="185"/>
      <c r="AB6" s="185"/>
      <c r="AC6" s="185"/>
      <c r="AD6" s="185"/>
      <c r="AE6" s="185"/>
      <c r="AF6" s="185"/>
      <c r="AG6" s="185"/>
      <c r="AH6" s="185"/>
      <c r="AI6" s="185"/>
      <c r="AJ6" s="185"/>
      <c r="AK6" s="185"/>
      <c r="AL6" s="185"/>
      <c r="AM6" s="185"/>
      <c r="AN6" s="185"/>
      <c r="AO6" s="185"/>
      <c r="AP6" s="188"/>
      <c r="AQ6" s="188"/>
      <c r="AR6" s="189"/>
      <c r="AS6" s="189"/>
    </row>
    <row r="7" spans="1:45" x14ac:dyDescent="0.2">
      <c r="A7" s="397" t="s">
        <v>7</v>
      </c>
      <c r="B7" s="397"/>
      <c r="C7" s="397"/>
      <c r="D7" s="397"/>
      <c r="E7" s="397"/>
      <c r="F7" s="397"/>
      <c r="G7" s="397"/>
      <c r="H7" s="397"/>
      <c r="I7" s="397"/>
      <c r="J7" s="397"/>
      <c r="K7" s="397"/>
      <c r="L7" s="397"/>
      <c r="M7" s="397"/>
      <c r="N7" s="397"/>
      <c r="O7" s="397"/>
      <c r="P7" s="397"/>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88"/>
      <c r="AQ7" s="188"/>
      <c r="AR7" s="189"/>
      <c r="AS7" s="189"/>
    </row>
    <row r="8" spans="1:45" x14ac:dyDescent="0.2">
      <c r="A8" s="195"/>
      <c r="B8" s="195"/>
      <c r="C8" s="195"/>
      <c r="D8" s="195"/>
      <c r="E8" s="195"/>
      <c r="F8" s="195"/>
      <c r="G8" s="195"/>
      <c r="H8" s="195"/>
      <c r="I8" s="195"/>
      <c r="J8" s="195"/>
      <c r="K8" s="195"/>
      <c r="L8" s="193"/>
      <c r="M8" s="193"/>
      <c r="N8" s="193"/>
      <c r="O8" s="193"/>
      <c r="P8" s="193"/>
      <c r="Q8" s="194"/>
      <c r="R8" s="194"/>
      <c r="S8" s="194"/>
      <c r="T8" s="194"/>
      <c r="U8" s="194"/>
      <c r="V8" s="194"/>
      <c r="W8" s="194"/>
      <c r="X8" s="194"/>
      <c r="Y8" s="194"/>
      <c r="Z8" s="185"/>
      <c r="AA8" s="185"/>
      <c r="AB8" s="185"/>
      <c r="AC8" s="185"/>
      <c r="AD8" s="185"/>
      <c r="AE8" s="185"/>
      <c r="AF8" s="185"/>
      <c r="AG8" s="185"/>
      <c r="AH8" s="185"/>
      <c r="AI8" s="185"/>
      <c r="AJ8" s="185"/>
      <c r="AK8" s="185"/>
      <c r="AL8" s="185"/>
      <c r="AM8" s="185"/>
      <c r="AN8" s="185"/>
      <c r="AO8" s="185"/>
      <c r="AP8" s="188"/>
      <c r="AQ8" s="188"/>
      <c r="AR8" s="189"/>
      <c r="AS8" s="189"/>
    </row>
    <row r="9" spans="1:45" x14ac:dyDescent="0.2">
      <c r="A9" s="398" t="str">
        <f>'1. паспорт местоположение'!A9:C9</f>
        <v xml:space="preserve">Акционерное общество "Западная энергетическая компания" </v>
      </c>
      <c r="B9" s="398"/>
      <c r="C9" s="398"/>
      <c r="D9" s="398"/>
      <c r="E9" s="398"/>
      <c r="F9" s="398"/>
      <c r="G9" s="398"/>
      <c r="H9" s="398"/>
      <c r="I9" s="398"/>
      <c r="J9" s="398"/>
      <c r="K9" s="398"/>
      <c r="L9" s="398"/>
      <c r="M9" s="398"/>
      <c r="N9" s="398"/>
      <c r="O9" s="398"/>
      <c r="P9" s="398"/>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88"/>
      <c r="AQ9" s="188"/>
      <c r="AR9" s="189"/>
      <c r="AS9" s="189"/>
    </row>
    <row r="10" spans="1:45" x14ac:dyDescent="0.2">
      <c r="A10" s="396" t="s">
        <v>6</v>
      </c>
      <c r="B10" s="396"/>
      <c r="C10" s="396"/>
      <c r="D10" s="396"/>
      <c r="E10" s="396"/>
      <c r="F10" s="396"/>
      <c r="G10" s="396"/>
      <c r="H10" s="396"/>
      <c r="I10" s="396"/>
      <c r="J10" s="396"/>
      <c r="K10" s="396"/>
      <c r="L10" s="396"/>
      <c r="M10" s="396"/>
      <c r="N10" s="396"/>
      <c r="O10" s="396"/>
      <c r="P10" s="396"/>
      <c r="AD10" s="197"/>
      <c r="AE10" s="197"/>
      <c r="AF10" s="197"/>
      <c r="AG10" s="197"/>
      <c r="AH10" s="197"/>
      <c r="AI10" s="197"/>
      <c r="AJ10" s="197"/>
      <c r="AK10" s="197"/>
      <c r="AL10" s="197"/>
      <c r="AM10" s="197"/>
      <c r="AN10" s="197"/>
      <c r="AO10" s="197"/>
      <c r="AP10" s="188"/>
      <c r="AQ10" s="188"/>
      <c r="AR10" s="189"/>
      <c r="AS10" s="189"/>
    </row>
    <row r="11" spans="1:45" x14ac:dyDescent="0.2">
      <c r="A11" s="195"/>
      <c r="B11" s="195"/>
      <c r="C11" s="195"/>
      <c r="D11" s="195"/>
      <c r="E11" s="195"/>
      <c r="F11" s="195"/>
      <c r="G11" s="195"/>
      <c r="H11" s="195"/>
      <c r="I11" s="195"/>
      <c r="J11" s="195"/>
      <c r="K11" s="195"/>
      <c r="L11" s="193"/>
      <c r="M11" s="193"/>
      <c r="N11" s="193"/>
      <c r="O11" s="193"/>
      <c r="P11" s="193"/>
      <c r="Q11" s="194"/>
      <c r="R11" s="194"/>
      <c r="S11" s="194"/>
      <c r="T11" s="194"/>
      <c r="U11" s="194"/>
      <c r="V11" s="194"/>
      <c r="W11" s="194"/>
      <c r="X11" s="194"/>
      <c r="Y11" s="194"/>
      <c r="Z11" s="185"/>
      <c r="AA11" s="185"/>
      <c r="AB11" s="185"/>
      <c r="AC11" s="185"/>
      <c r="AD11" s="185"/>
      <c r="AE11" s="185"/>
      <c r="AF11" s="185"/>
      <c r="AG11" s="185"/>
      <c r="AH11" s="185"/>
      <c r="AI11" s="185"/>
      <c r="AJ11" s="185"/>
      <c r="AK11" s="185"/>
      <c r="AL11" s="185"/>
      <c r="AM11" s="185"/>
      <c r="AN11" s="185"/>
      <c r="AO11" s="185"/>
      <c r="AP11" s="188"/>
      <c r="AQ11" s="188"/>
      <c r="AR11" s="189"/>
      <c r="AS11" s="189"/>
    </row>
    <row r="12" spans="1:45" x14ac:dyDescent="0.2">
      <c r="A12" s="398" t="str">
        <f>'1. паспорт местоположение'!A12:C12</f>
        <v>O 24-35</v>
      </c>
      <c r="B12" s="398"/>
      <c r="C12" s="398"/>
      <c r="D12" s="398"/>
      <c r="E12" s="398"/>
      <c r="F12" s="398"/>
      <c r="G12" s="398"/>
      <c r="H12" s="398"/>
      <c r="I12" s="398"/>
      <c r="J12" s="398"/>
      <c r="K12" s="398"/>
      <c r="L12" s="398"/>
      <c r="M12" s="398"/>
      <c r="N12" s="398"/>
      <c r="O12" s="398"/>
      <c r="P12" s="398"/>
      <c r="Q12" s="196"/>
      <c r="R12" s="196"/>
      <c r="S12" s="196"/>
      <c r="T12" s="196"/>
      <c r="U12" s="196"/>
      <c r="V12" s="196"/>
      <c r="W12" s="196"/>
      <c r="X12" s="196"/>
      <c r="Y12" s="196"/>
      <c r="Z12" s="196"/>
      <c r="AA12" s="196"/>
      <c r="AB12" s="196"/>
      <c r="AC12" s="196"/>
      <c r="AD12" s="196"/>
      <c r="AE12" s="196"/>
      <c r="AF12" s="196"/>
      <c r="AG12" s="196"/>
      <c r="AH12" s="196"/>
      <c r="AI12" s="196"/>
      <c r="AJ12" s="196"/>
      <c r="AK12" s="196"/>
      <c r="AL12" s="196"/>
      <c r="AM12" s="196"/>
      <c r="AN12" s="196"/>
      <c r="AO12" s="196"/>
      <c r="AP12" s="188"/>
      <c r="AQ12" s="188"/>
      <c r="AR12" s="189"/>
      <c r="AS12" s="189"/>
    </row>
    <row r="13" spans="1:45" x14ac:dyDescent="0.2">
      <c r="A13" s="396" t="s">
        <v>5</v>
      </c>
      <c r="B13" s="396"/>
      <c r="C13" s="396"/>
      <c r="D13" s="396"/>
      <c r="E13" s="396"/>
      <c r="F13" s="396"/>
      <c r="G13" s="396"/>
      <c r="H13" s="396"/>
      <c r="I13" s="396"/>
      <c r="J13" s="396"/>
      <c r="K13" s="396"/>
      <c r="L13" s="396"/>
      <c r="M13" s="396"/>
      <c r="N13" s="396"/>
      <c r="O13" s="396"/>
      <c r="P13" s="396"/>
      <c r="AD13" s="197"/>
      <c r="AE13" s="197"/>
      <c r="AF13" s="197"/>
      <c r="AG13" s="197"/>
      <c r="AH13" s="197"/>
      <c r="AI13" s="197"/>
      <c r="AJ13" s="197"/>
      <c r="AK13" s="197"/>
      <c r="AL13" s="197"/>
      <c r="AM13" s="197"/>
      <c r="AN13" s="197"/>
      <c r="AO13" s="197"/>
      <c r="AP13" s="188"/>
      <c r="AQ13" s="188"/>
      <c r="AR13" s="189"/>
      <c r="AS13" s="189"/>
    </row>
    <row r="14" spans="1:45" x14ac:dyDescent="0.2">
      <c r="A14" s="198"/>
      <c r="B14" s="198"/>
      <c r="C14" s="198"/>
      <c r="D14" s="198"/>
      <c r="E14" s="198"/>
      <c r="F14" s="198"/>
      <c r="G14" s="198"/>
      <c r="H14" s="198"/>
      <c r="I14" s="198"/>
      <c r="J14" s="198"/>
      <c r="K14" s="198"/>
      <c r="L14" s="198"/>
      <c r="M14" s="198"/>
      <c r="N14" s="198"/>
      <c r="O14" s="198"/>
      <c r="P14" s="198"/>
      <c r="Q14" s="199"/>
      <c r="R14" s="199"/>
      <c r="S14" s="199"/>
      <c r="T14" s="199"/>
      <c r="U14" s="199"/>
      <c r="V14" s="199"/>
      <c r="W14" s="199"/>
      <c r="X14" s="199"/>
      <c r="Y14" s="199"/>
      <c r="Z14" s="185"/>
      <c r="AA14" s="185"/>
      <c r="AB14" s="185"/>
      <c r="AC14" s="185"/>
      <c r="AD14" s="185"/>
      <c r="AE14" s="185"/>
      <c r="AF14" s="185"/>
      <c r="AG14" s="185"/>
      <c r="AH14" s="185"/>
      <c r="AI14" s="185"/>
      <c r="AJ14" s="185"/>
      <c r="AK14" s="185"/>
      <c r="AL14" s="185"/>
      <c r="AM14" s="185"/>
      <c r="AN14" s="185"/>
      <c r="AO14" s="185"/>
      <c r="AP14" s="188"/>
      <c r="AQ14" s="188"/>
      <c r="AR14" s="189"/>
      <c r="AS14" s="189"/>
    </row>
    <row r="15" spans="1:45" x14ac:dyDescent="0.2">
      <c r="A15" s="393" t="str">
        <f>'1. паспорт местоположение'!A15:C15</f>
        <v>Покупка объектов основных средств электросетевого хозяйства</v>
      </c>
      <c r="B15" s="393"/>
      <c r="C15" s="393"/>
      <c r="D15" s="393"/>
      <c r="E15" s="393"/>
      <c r="F15" s="393"/>
      <c r="G15" s="393"/>
      <c r="H15" s="393"/>
      <c r="I15" s="393"/>
      <c r="J15" s="393"/>
      <c r="K15" s="393"/>
      <c r="L15" s="393"/>
      <c r="M15" s="393"/>
      <c r="N15" s="393"/>
      <c r="O15" s="393"/>
      <c r="P15" s="393"/>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188"/>
      <c r="AQ15" s="188"/>
      <c r="AR15" s="189"/>
      <c r="AS15" s="189"/>
    </row>
    <row r="16" spans="1:45" x14ac:dyDescent="0.2">
      <c r="A16" s="394" t="s">
        <v>4</v>
      </c>
      <c r="B16" s="394"/>
      <c r="C16" s="394"/>
      <c r="D16" s="394"/>
      <c r="E16" s="394"/>
      <c r="F16" s="394"/>
      <c r="G16" s="394"/>
      <c r="H16" s="394"/>
      <c r="I16" s="394"/>
      <c r="J16" s="394"/>
      <c r="K16" s="394"/>
      <c r="L16" s="394"/>
      <c r="M16" s="394"/>
      <c r="N16" s="394"/>
      <c r="O16" s="394"/>
      <c r="P16" s="394"/>
      <c r="AD16" s="197"/>
      <c r="AE16" s="197"/>
      <c r="AF16" s="197"/>
      <c r="AG16" s="197"/>
      <c r="AH16" s="197"/>
      <c r="AI16" s="197"/>
      <c r="AJ16" s="197"/>
      <c r="AK16" s="197"/>
      <c r="AL16" s="197"/>
      <c r="AM16" s="197"/>
      <c r="AN16" s="197"/>
      <c r="AO16" s="197"/>
      <c r="AP16" s="188"/>
      <c r="AQ16" s="188"/>
      <c r="AR16" s="189"/>
      <c r="AS16" s="189"/>
    </row>
    <row r="17" spans="1:45" x14ac:dyDescent="0.2">
      <c r="A17" s="199"/>
      <c r="B17" s="199"/>
      <c r="C17" s="199"/>
      <c r="D17" s="199"/>
      <c r="E17" s="199"/>
      <c r="F17" s="199"/>
      <c r="G17" s="199"/>
      <c r="H17" s="199"/>
      <c r="I17" s="199"/>
      <c r="J17" s="199"/>
      <c r="K17" s="199"/>
      <c r="L17" s="199"/>
      <c r="M17" s="199"/>
      <c r="N17" s="199"/>
      <c r="O17" s="199"/>
      <c r="P17" s="199"/>
      <c r="Q17" s="199"/>
      <c r="R17" s="199"/>
      <c r="S17" s="199"/>
      <c r="T17" s="199"/>
      <c r="U17" s="199"/>
      <c r="V17" s="199"/>
      <c r="W17" s="201"/>
      <c r="X17" s="201"/>
      <c r="Y17" s="201"/>
      <c r="Z17" s="201"/>
      <c r="AA17" s="201"/>
      <c r="AB17" s="201"/>
      <c r="AC17" s="201"/>
      <c r="AD17" s="201"/>
      <c r="AE17" s="201"/>
      <c r="AF17" s="201"/>
      <c r="AG17" s="201"/>
      <c r="AH17" s="201"/>
      <c r="AI17" s="201"/>
      <c r="AJ17" s="201"/>
      <c r="AK17" s="201"/>
      <c r="AL17" s="201"/>
      <c r="AM17" s="201"/>
      <c r="AN17" s="201"/>
      <c r="AO17" s="201"/>
      <c r="AP17" s="188"/>
      <c r="AQ17" s="188"/>
      <c r="AR17" s="189"/>
      <c r="AS17" s="189"/>
    </row>
    <row r="18" spans="1:45" x14ac:dyDescent="0.2">
      <c r="A18" s="395" t="s">
        <v>391</v>
      </c>
      <c r="B18" s="395"/>
      <c r="C18" s="395"/>
      <c r="D18" s="395"/>
      <c r="E18" s="395"/>
      <c r="F18" s="395"/>
      <c r="G18" s="395"/>
      <c r="H18" s="395"/>
      <c r="I18" s="395"/>
      <c r="J18" s="395"/>
      <c r="K18" s="395"/>
      <c r="L18" s="395"/>
      <c r="M18" s="395"/>
      <c r="N18" s="395"/>
      <c r="O18" s="395"/>
      <c r="P18" s="395"/>
      <c r="Q18" s="196"/>
      <c r="R18" s="196"/>
      <c r="S18" s="196"/>
      <c r="T18" s="196"/>
      <c r="U18" s="196"/>
      <c r="V18" s="196"/>
      <c r="W18" s="196"/>
      <c r="X18" s="196"/>
      <c r="Y18" s="196"/>
      <c r="Z18" s="196"/>
      <c r="AA18" s="196"/>
      <c r="AB18" s="196"/>
      <c r="AC18" s="196"/>
      <c r="AD18" s="196"/>
      <c r="AE18" s="196"/>
      <c r="AF18" s="196"/>
      <c r="AG18" s="196"/>
      <c r="AH18" s="196"/>
      <c r="AI18" s="196"/>
      <c r="AJ18" s="196"/>
      <c r="AK18" s="196"/>
      <c r="AL18" s="196"/>
      <c r="AM18" s="196"/>
      <c r="AN18" s="196"/>
      <c r="AO18" s="196"/>
      <c r="AP18" s="188"/>
      <c r="AQ18" s="188"/>
      <c r="AR18" s="189"/>
      <c r="AS18" s="189"/>
    </row>
    <row r="19" spans="1:45" x14ac:dyDescent="0.2">
      <c r="A19" s="202"/>
      <c r="B19" s="202"/>
      <c r="C19" s="202"/>
      <c r="D19" s="202"/>
      <c r="E19" s="202"/>
      <c r="F19" s="202"/>
      <c r="G19" s="202"/>
      <c r="H19" s="202"/>
      <c r="I19" s="202"/>
      <c r="J19" s="202"/>
      <c r="K19" s="202"/>
      <c r="L19" s="202"/>
      <c r="M19" s="202"/>
      <c r="N19" s="202"/>
      <c r="O19" s="202"/>
      <c r="P19" s="202"/>
      <c r="Q19" s="196"/>
      <c r="R19" s="196"/>
      <c r="S19" s="196"/>
      <c r="T19" s="196"/>
      <c r="U19" s="196"/>
      <c r="V19" s="196"/>
      <c r="W19" s="196"/>
      <c r="X19" s="196"/>
      <c r="Y19" s="196"/>
      <c r="Z19" s="196"/>
      <c r="AA19" s="196"/>
      <c r="AB19" s="196"/>
      <c r="AC19" s="196"/>
      <c r="AD19" s="196"/>
      <c r="AE19" s="196"/>
      <c r="AF19" s="196"/>
      <c r="AG19" s="196"/>
      <c r="AH19" s="196"/>
      <c r="AI19" s="196"/>
      <c r="AJ19" s="196"/>
      <c r="AK19" s="196"/>
      <c r="AL19" s="196"/>
      <c r="AM19" s="196"/>
      <c r="AN19" s="196"/>
      <c r="AO19" s="196"/>
      <c r="AP19" s="188"/>
      <c r="AQ19" s="188"/>
      <c r="AR19" s="189"/>
      <c r="AS19" s="189"/>
    </row>
    <row r="20" spans="1:45" x14ac:dyDescent="0.2">
      <c r="A20" s="202"/>
      <c r="B20" s="202"/>
      <c r="C20" s="202"/>
      <c r="D20" s="202"/>
      <c r="E20" s="202"/>
      <c r="F20" s="202"/>
      <c r="G20" s="202"/>
      <c r="H20" s="202"/>
      <c r="I20" s="202"/>
      <c r="J20" s="202"/>
      <c r="K20" s="202"/>
      <c r="L20" s="202"/>
      <c r="M20" s="202"/>
      <c r="N20" s="202"/>
      <c r="O20" s="202"/>
      <c r="P20" s="202"/>
      <c r="Q20" s="196"/>
      <c r="R20" s="196"/>
      <c r="S20" s="196"/>
      <c r="T20" s="196"/>
      <c r="U20" s="196"/>
      <c r="V20" s="196"/>
      <c r="W20" s="196"/>
      <c r="X20" s="196"/>
      <c r="Y20" s="196"/>
      <c r="Z20" s="196"/>
      <c r="AA20" s="196"/>
      <c r="AB20" s="196"/>
      <c r="AC20" s="196"/>
      <c r="AD20" s="196"/>
      <c r="AE20" s="196"/>
      <c r="AF20" s="196"/>
      <c r="AG20" s="196"/>
      <c r="AH20" s="196"/>
      <c r="AI20" s="196"/>
      <c r="AJ20" s="196"/>
      <c r="AK20" s="196"/>
      <c r="AL20" s="196"/>
      <c r="AM20" s="196"/>
      <c r="AN20" s="196"/>
      <c r="AO20" s="196"/>
      <c r="AP20" s="188"/>
      <c r="AQ20" s="188"/>
      <c r="AR20" s="189"/>
      <c r="AS20" s="189"/>
    </row>
    <row r="21" spans="1:45" x14ac:dyDescent="0.2">
      <c r="A21" s="203"/>
      <c r="N21" s="197"/>
      <c r="AP21" s="188"/>
      <c r="AQ21" s="188"/>
      <c r="AR21" s="189"/>
      <c r="AS21" s="189"/>
    </row>
    <row r="22" spans="1:45" x14ac:dyDescent="0.2">
      <c r="A22" s="194"/>
      <c r="N22" s="197"/>
      <c r="AP22" s="188"/>
      <c r="AQ22" s="188"/>
      <c r="AR22" s="189"/>
      <c r="AS22" s="189"/>
    </row>
    <row r="23" spans="1:45" ht="13.5" thickBot="1" x14ac:dyDescent="0.25">
      <c r="A23" s="204" t="s">
        <v>288</v>
      </c>
      <c r="B23" s="204" t="s">
        <v>1</v>
      </c>
      <c r="D23" s="205"/>
      <c r="N23" s="197"/>
    </row>
    <row r="24" spans="1:45" ht="15" x14ac:dyDescent="0.2">
      <c r="A24" s="206" t="s">
        <v>428</v>
      </c>
      <c r="B24" s="177">
        <f>'6.2. Паспорт фин осв ввод'!C30*-1000000</f>
        <v>-42937066.666666664</v>
      </c>
      <c r="N24" s="197"/>
    </row>
    <row r="25" spans="1:45" x14ac:dyDescent="0.2">
      <c r="A25" s="207" t="s">
        <v>286</v>
      </c>
      <c r="B25" s="208">
        <v>0</v>
      </c>
      <c r="N25" s="197"/>
    </row>
    <row r="26" spans="1:45" x14ac:dyDescent="0.2">
      <c r="A26" s="209" t="s">
        <v>284</v>
      </c>
      <c r="B26" s="208">
        <v>30</v>
      </c>
      <c r="D26" s="194" t="s">
        <v>287</v>
      </c>
      <c r="N26" s="197"/>
    </row>
    <row r="27" spans="1:45" ht="13.5" thickBot="1" x14ac:dyDescent="0.25">
      <c r="A27" s="210" t="s">
        <v>282</v>
      </c>
      <c r="B27" s="211">
        <v>1</v>
      </c>
      <c r="D27" s="389" t="s">
        <v>285</v>
      </c>
      <c r="E27" s="390"/>
      <c r="F27" s="391"/>
      <c r="G27" s="212">
        <f>IF(SUM(B89:AG89)=0,"не окупается",SUM(B89:AG89))</f>
        <v>15.469187479977593</v>
      </c>
      <c r="H27" s="213"/>
      <c r="N27" s="197"/>
    </row>
    <row r="28" spans="1:45" ht="15" x14ac:dyDescent="0.2">
      <c r="A28" s="206" t="s">
        <v>281</v>
      </c>
      <c r="B28" s="177">
        <f>B24*0.001</f>
        <v>-42937.066666666666</v>
      </c>
      <c r="D28" s="389" t="s">
        <v>283</v>
      </c>
      <c r="E28" s="390"/>
      <c r="F28" s="391"/>
      <c r="G28" s="212" t="str">
        <f>IF(SUM(B90:AG90)=0,"не окупается",SUM(B90:AG90))</f>
        <v>не окупается</v>
      </c>
      <c r="H28" s="213"/>
      <c r="N28" s="197"/>
    </row>
    <row r="29" spans="1:45" x14ac:dyDescent="0.2">
      <c r="A29" s="209" t="s">
        <v>429</v>
      </c>
      <c r="B29" s="208">
        <v>6</v>
      </c>
      <c r="D29" s="389" t="s">
        <v>564</v>
      </c>
      <c r="E29" s="390"/>
      <c r="F29" s="391"/>
      <c r="G29" s="214">
        <f>L87</f>
        <v>-14600180.74321471</v>
      </c>
      <c r="H29" s="215"/>
      <c r="N29" s="197"/>
    </row>
    <row r="30" spans="1:45" x14ac:dyDescent="0.2">
      <c r="A30" s="209" t="s">
        <v>280</v>
      </c>
      <c r="B30" s="208">
        <v>6</v>
      </c>
      <c r="D30" s="389"/>
      <c r="E30" s="390"/>
      <c r="F30" s="391"/>
      <c r="G30" s="216"/>
      <c r="H30" s="217"/>
      <c r="N30" s="197"/>
    </row>
    <row r="31" spans="1:45" x14ac:dyDescent="0.2">
      <c r="A31" s="209" t="s">
        <v>259</v>
      </c>
      <c r="B31" s="208">
        <v>0</v>
      </c>
      <c r="N31" s="197"/>
    </row>
    <row r="32" spans="1:45" x14ac:dyDescent="0.2">
      <c r="A32" s="209" t="s">
        <v>279</v>
      </c>
      <c r="B32" s="208">
        <v>1</v>
      </c>
      <c r="N32" s="197"/>
    </row>
    <row r="33" spans="1:31" x14ac:dyDescent="0.2">
      <c r="A33" s="209" t="s">
        <v>278</v>
      </c>
      <c r="B33" s="208">
        <v>1</v>
      </c>
      <c r="N33" s="197"/>
    </row>
    <row r="34" spans="1:31" x14ac:dyDescent="0.2">
      <c r="A34" s="218" t="s">
        <v>565</v>
      </c>
      <c r="B34" s="208">
        <f>B24*0.03</f>
        <v>-1288111.9999999998</v>
      </c>
      <c r="N34" s="197"/>
    </row>
    <row r="35" spans="1:31" ht="13.5" thickBot="1" x14ac:dyDescent="0.25">
      <c r="A35" s="219" t="s">
        <v>253</v>
      </c>
      <c r="B35" s="220">
        <v>0.2</v>
      </c>
      <c r="N35" s="197"/>
    </row>
    <row r="36" spans="1:31" x14ac:dyDescent="0.2">
      <c r="A36" s="206" t="s">
        <v>430</v>
      </c>
      <c r="B36" s="221">
        <v>0</v>
      </c>
      <c r="N36" s="197"/>
    </row>
    <row r="37" spans="1:31" x14ac:dyDescent="0.2">
      <c r="A37" s="207" t="s">
        <v>277</v>
      </c>
      <c r="B37" s="208"/>
      <c r="N37" s="197"/>
    </row>
    <row r="38" spans="1:31" ht="13.5" thickBot="1" x14ac:dyDescent="0.25">
      <c r="A38" s="218" t="s">
        <v>276</v>
      </c>
      <c r="B38" s="222"/>
      <c r="N38" s="197"/>
    </row>
    <row r="39" spans="1:31" x14ac:dyDescent="0.2">
      <c r="A39" s="223" t="s">
        <v>431</v>
      </c>
      <c r="B39" s="224">
        <v>1</v>
      </c>
      <c r="N39" s="197"/>
    </row>
    <row r="40" spans="1:31" x14ac:dyDescent="0.2">
      <c r="A40" s="225" t="s">
        <v>275</v>
      </c>
      <c r="B40" s="226"/>
      <c r="N40" s="197"/>
    </row>
    <row r="41" spans="1:31" x14ac:dyDescent="0.2">
      <c r="A41" s="225" t="s">
        <v>274</v>
      </c>
      <c r="B41" s="227"/>
      <c r="N41" s="197"/>
    </row>
    <row r="42" spans="1:31" x14ac:dyDescent="0.2">
      <c r="A42" s="225" t="s">
        <v>273</v>
      </c>
      <c r="B42" s="227">
        <v>0</v>
      </c>
      <c r="N42" s="197"/>
    </row>
    <row r="43" spans="1:31" x14ac:dyDescent="0.2">
      <c r="A43" s="225" t="s">
        <v>272</v>
      </c>
      <c r="B43" s="228">
        <v>0.2</v>
      </c>
      <c r="N43" s="197"/>
    </row>
    <row r="44" spans="1:31" x14ac:dyDescent="0.2">
      <c r="A44" s="225" t="s">
        <v>271</v>
      </c>
      <c r="B44" s="229">
        <v>1</v>
      </c>
      <c r="N44" s="197"/>
    </row>
    <row r="45" spans="1:31" ht="13.5" thickBot="1" x14ac:dyDescent="0.25">
      <c r="A45" s="230" t="s">
        <v>566</v>
      </c>
      <c r="B45" s="229">
        <f>B44*B43+B42*B41*(1-B35)</f>
        <v>0.2</v>
      </c>
      <c r="C45" s="231"/>
      <c r="N45" s="197"/>
    </row>
    <row r="46" spans="1:31" x14ac:dyDescent="0.2">
      <c r="A46" s="232" t="s">
        <v>270</v>
      </c>
      <c r="B46" s="233">
        <v>1</v>
      </c>
      <c r="C46" s="233">
        <v>2</v>
      </c>
      <c r="D46" s="233">
        <v>3</v>
      </c>
      <c r="E46" s="233">
        <v>4</v>
      </c>
      <c r="F46" s="233">
        <v>5</v>
      </c>
      <c r="G46" s="233">
        <v>6</v>
      </c>
      <c r="H46" s="233">
        <v>7</v>
      </c>
      <c r="I46" s="233">
        <v>8</v>
      </c>
      <c r="J46" s="233">
        <v>9</v>
      </c>
      <c r="K46" s="233">
        <v>10</v>
      </c>
      <c r="L46" s="233">
        <v>11</v>
      </c>
      <c r="M46" s="233">
        <v>12</v>
      </c>
      <c r="N46" s="233">
        <v>13</v>
      </c>
      <c r="O46" s="233">
        <v>14</v>
      </c>
      <c r="P46" s="233">
        <v>15</v>
      </c>
      <c r="Q46" s="233">
        <v>16</v>
      </c>
      <c r="R46" s="233">
        <v>17</v>
      </c>
      <c r="S46" s="233">
        <v>18</v>
      </c>
      <c r="T46" s="233">
        <v>19</v>
      </c>
      <c r="U46" s="233">
        <v>20</v>
      </c>
      <c r="V46" s="233">
        <v>21</v>
      </c>
      <c r="W46" s="233">
        <v>22</v>
      </c>
      <c r="X46" s="233">
        <v>23</v>
      </c>
      <c r="Y46" s="233">
        <v>24</v>
      </c>
      <c r="Z46" s="233">
        <v>25</v>
      </c>
      <c r="AA46" s="233">
        <v>26</v>
      </c>
      <c r="AB46" s="233">
        <v>27</v>
      </c>
      <c r="AC46" s="234">
        <v>28</v>
      </c>
      <c r="AD46" s="234">
        <v>29</v>
      </c>
      <c r="AE46" s="234">
        <v>30</v>
      </c>
    </row>
    <row r="47" spans="1:31" x14ac:dyDescent="0.2">
      <c r="A47" s="235" t="s">
        <v>269</v>
      </c>
      <c r="B47" s="236">
        <v>4.7619843182130001E-2</v>
      </c>
      <c r="C47" s="236">
        <v>4.57995653007E-2</v>
      </c>
      <c r="D47" s="236">
        <v>4.57995653007E-2</v>
      </c>
      <c r="E47" s="236">
        <v>4.57995653007E-2</v>
      </c>
      <c r="F47" s="236">
        <v>4.57995653007E-2</v>
      </c>
      <c r="G47" s="236">
        <v>4.57995653007E-2</v>
      </c>
      <c r="H47" s="236">
        <v>4.57995653007E-2</v>
      </c>
      <c r="I47" s="236">
        <v>4.57995653007E-2</v>
      </c>
      <c r="J47" s="236">
        <v>4.57995653007E-2</v>
      </c>
      <c r="K47" s="236">
        <v>4.57995653007E-2</v>
      </c>
      <c r="L47" s="236">
        <v>4.57995653007E-2</v>
      </c>
      <c r="M47" s="236">
        <v>4.57995653007E-2</v>
      </c>
      <c r="N47" s="236">
        <v>4.57995653007E-2</v>
      </c>
      <c r="O47" s="236">
        <v>4.57995653007E-2</v>
      </c>
      <c r="P47" s="236">
        <v>4.57995653007E-2</v>
      </c>
      <c r="Q47" s="236">
        <v>4.57995653007E-2</v>
      </c>
      <c r="R47" s="236">
        <v>4.57995653007E-2</v>
      </c>
      <c r="S47" s="236">
        <v>4.57995653007E-2</v>
      </c>
      <c r="T47" s="236">
        <v>4.57995653007E-2</v>
      </c>
      <c r="U47" s="236">
        <v>4.57995653007E-2</v>
      </c>
      <c r="V47" s="236">
        <v>4.57995653007E-2</v>
      </c>
      <c r="W47" s="236">
        <v>4.57995653007E-2</v>
      </c>
      <c r="X47" s="236">
        <v>4.57995653007E-2</v>
      </c>
      <c r="Y47" s="236">
        <v>4.57995653007E-2</v>
      </c>
      <c r="Z47" s="236">
        <v>4.57995653007E-2</v>
      </c>
      <c r="AA47" s="236">
        <v>4.57995653007E-2</v>
      </c>
      <c r="AB47" s="236">
        <v>4.57995653007E-2</v>
      </c>
      <c r="AC47" s="236">
        <v>4.57995653007E-2</v>
      </c>
      <c r="AD47" s="236">
        <v>4.57995653007E-2</v>
      </c>
      <c r="AE47" s="236">
        <v>4.57995653007E-2</v>
      </c>
    </row>
    <row r="48" spans="1:31" x14ac:dyDescent="0.2">
      <c r="A48" s="235" t="s">
        <v>268</v>
      </c>
      <c r="B48" s="236">
        <f>B47</f>
        <v>4.7619843182130001E-2</v>
      </c>
      <c r="C48" s="236">
        <f t="shared" ref="C48:AE48" si="0">(1+B48)*(1+C47)-1</f>
        <v>9.5600376600258885E-2</v>
      </c>
      <c r="D48" s="236">
        <f t="shared" si="0"/>
        <v>0.14577839759183386</v>
      </c>
      <c r="E48" s="236">
        <f t="shared" si="0"/>
        <v>0.1982545501324724</v>
      </c>
      <c r="F48" s="236">
        <f t="shared" si="0"/>
        <v>0.25313408764812539</v>
      </c>
      <c r="G48" s="236">
        <f t="shared" si="0"/>
        <v>0.31052708412589869</v>
      </c>
      <c r="H48" s="236">
        <f t="shared" si="0"/>
        <v>0.37054865489365874</v>
      </c>
      <c r="I48" s="236">
        <f t="shared" si="0"/>
        <v>0.43331918751124743</v>
      </c>
      <c r="J48" s="236">
        <f t="shared" si="0"/>
        <v>0.4989645832364149</v>
      </c>
      <c r="K48" s="236">
        <f t="shared" si="0"/>
        <v>0.5676165095497876</v>
      </c>
      <c r="L48" s="236">
        <f t="shared" si="0"/>
        <v>0.63941266424536836</v>
      </c>
      <c r="M48" s="236">
        <f t="shared" si="0"/>
        <v>0.71449705161626853</v>
      </c>
      <c r="N48" s="236">
        <f t="shared" si="0"/>
        <v>0.79302027128962527</v>
      </c>
      <c r="O48" s="236">
        <f t="shared" si="0"/>
        <v>0.87513982029003312</v>
      </c>
      <c r="P48" s="236">
        <f t="shared" si="0"/>
        <v>0.9610204089373493</v>
      </c>
      <c r="Q48" s="236">
        <f t="shared" si="0"/>
        <v>1.0508342912124808</v>
      </c>
      <c r="R48" s="236">
        <f t="shared" si="0"/>
        <v>1.1447616102537816</v>
      </c>
      <c r="S48" s="236">
        <f t="shared" si="0"/>
        <v>1.242990759677034</v>
      </c>
      <c r="T48" s="236">
        <f t="shared" si="0"/>
        <v>1.3457187614437287</v>
      </c>
      <c r="U48" s="236">
        <f t="shared" si="0"/>
        <v>1.4531516610355477</v>
      </c>
      <c r="V48" s="236">
        <f t="shared" si="0"/>
        <v>1.5655049407276658</v>
      </c>
      <c r="W48" s="236">
        <f t="shared" si="0"/>
        <v>1.6830039517897908</v>
      </c>
      <c r="X48" s="236">
        <f t="shared" si="0"/>
        <v>1.8058843664818234</v>
      </c>
      <c r="Y48" s="236">
        <f t="shared" si="0"/>
        <v>1.9343926507507208</v>
      </c>
      <c r="Z48" s="236">
        <f t="shared" si="0"/>
        <v>2.0687865585766723</v>
      </c>
      <c r="AA48" s="236">
        <f t="shared" si="0"/>
        <v>2.2093356489601148</v>
      </c>
      <c r="AB48" s="236">
        <f t="shared" si="0"/>
        <v>2.356321826586528</v>
      </c>
      <c r="AC48" s="236">
        <f t="shared" si="0"/>
        <v>2.5100399072534421</v>
      </c>
      <c r="AD48" s="236">
        <f t="shared" si="0"/>
        <v>2.6707982091937588</v>
      </c>
      <c r="AE48" s="236">
        <f t="shared" si="0"/>
        <v>2.8389191714814208</v>
      </c>
    </row>
    <row r="49" spans="1:31" ht="13.5" thickBot="1" x14ac:dyDescent="0.25">
      <c r="A49" s="237" t="s">
        <v>432</v>
      </c>
      <c r="B49" s="238">
        <v>0</v>
      </c>
      <c r="C49" s="238">
        <v>0</v>
      </c>
      <c r="D49" s="238">
        <v>0</v>
      </c>
      <c r="E49" s="238">
        <v>0</v>
      </c>
      <c r="F49" s="238">
        <v>0</v>
      </c>
      <c r="G49" s="238">
        <v>0</v>
      </c>
      <c r="H49" s="238">
        <v>0</v>
      </c>
      <c r="I49" s="238">
        <v>0</v>
      </c>
      <c r="J49" s="238">
        <v>0</v>
      </c>
      <c r="K49" s="238">
        <v>0</v>
      </c>
      <c r="L49" s="238">
        <v>0</v>
      </c>
      <c r="M49" s="238">
        <v>0</v>
      </c>
      <c r="N49" s="238">
        <v>0</v>
      </c>
      <c r="O49" s="238">
        <v>0</v>
      </c>
      <c r="P49" s="238">
        <v>0</v>
      </c>
      <c r="Q49" s="238">
        <v>44184880.200960003</v>
      </c>
      <c r="R49" s="238">
        <v>44184880.200960003</v>
      </c>
      <c r="S49" s="238">
        <v>44184880.200960003</v>
      </c>
      <c r="T49" s="238">
        <v>44184880.200960003</v>
      </c>
      <c r="U49" s="238">
        <v>44184880.200960003</v>
      </c>
      <c r="V49" s="238">
        <v>44184880.200960003</v>
      </c>
      <c r="W49" s="238">
        <v>44184880.200960003</v>
      </c>
      <c r="X49" s="238">
        <v>44184880.200960003</v>
      </c>
      <c r="Y49" s="238">
        <v>44184880.200960003</v>
      </c>
      <c r="Z49" s="238">
        <v>44184880.200960003</v>
      </c>
      <c r="AA49" s="238">
        <v>44184880.200960003</v>
      </c>
      <c r="AB49" s="238">
        <v>44184880.200960003</v>
      </c>
      <c r="AC49" s="238">
        <v>44184880.200960003</v>
      </c>
      <c r="AD49" s="238">
        <v>44184880.200960003</v>
      </c>
      <c r="AE49" s="238">
        <v>44184880.200960003</v>
      </c>
    </row>
    <row r="50" spans="1:31" ht="13.5" thickBot="1" x14ac:dyDescent="0.25">
      <c r="A50" s="239"/>
      <c r="N50" s="197"/>
      <c r="AC50" s="240"/>
      <c r="AD50" s="240"/>
      <c r="AE50" s="240"/>
    </row>
    <row r="51" spans="1:31" x14ac:dyDescent="0.2">
      <c r="A51" s="241" t="s">
        <v>267</v>
      </c>
      <c r="B51" s="233">
        <v>1</v>
      </c>
      <c r="C51" s="233">
        <v>2</v>
      </c>
      <c r="D51" s="233">
        <v>3</v>
      </c>
      <c r="E51" s="233">
        <v>4</v>
      </c>
      <c r="F51" s="233">
        <v>5</v>
      </c>
      <c r="G51" s="233">
        <v>6</v>
      </c>
      <c r="H51" s="233">
        <v>7</v>
      </c>
      <c r="I51" s="233">
        <v>8</v>
      </c>
      <c r="J51" s="233">
        <v>9</v>
      </c>
      <c r="K51" s="233">
        <v>10</v>
      </c>
      <c r="L51" s="233">
        <v>11</v>
      </c>
      <c r="M51" s="233">
        <v>12</v>
      </c>
      <c r="N51" s="233">
        <v>13</v>
      </c>
      <c r="O51" s="233">
        <v>14</v>
      </c>
      <c r="P51" s="233">
        <v>15</v>
      </c>
      <c r="Q51" s="233">
        <v>16</v>
      </c>
      <c r="R51" s="233">
        <v>17</v>
      </c>
      <c r="S51" s="233">
        <v>18</v>
      </c>
      <c r="T51" s="233">
        <v>19</v>
      </c>
      <c r="U51" s="233">
        <v>20</v>
      </c>
      <c r="V51" s="233">
        <v>21</v>
      </c>
      <c r="W51" s="233">
        <v>22</v>
      </c>
      <c r="X51" s="233">
        <v>23</v>
      </c>
      <c r="Y51" s="233">
        <v>24</v>
      </c>
      <c r="Z51" s="233">
        <v>25</v>
      </c>
      <c r="AA51" s="233">
        <v>26</v>
      </c>
      <c r="AB51" s="233">
        <v>27</v>
      </c>
      <c r="AC51" s="233">
        <v>28</v>
      </c>
      <c r="AD51" s="233">
        <v>29</v>
      </c>
      <c r="AE51" s="233">
        <v>30</v>
      </c>
    </row>
    <row r="52" spans="1:31" x14ac:dyDescent="0.2">
      <c r="A52" s="235" t="s">
        <v>266</v>
      </c>
      <c r="B52" s="242">
        <v>0</v>
      </c>
      <c r="C52" s="242">
        <v>0</v>
      </c>
      <c r="D52" s="242">
        <v>0</v>
      </c>
      <c r="E52" s="242">
        <v>0</v>
      </c>
      <c r="F52" s="242">
        <v>0</v>
      </c>
      <c r="G52" s="242">
        <v>0</v>
      </c>
      <c r="H52" s="242">
        <v>0</v>
      </c>
      <c r="I52" s="242">
        <v>0</v>
      </c>
      <c r="J52" s="242">
        <v>0</v>
      </c>
      <c r="K52" s="242">
        <v>0</v>
      </c>
      <c r="L52" s="242">
        <v>0</v>
      </c>
      <c r="M52" s="242">
        <v>0</v>
      </c>
      <c r="N52" s="242">
        <v>0</v>
      </c>
      <c r="O52" s="242">
        <v>0</v>
      </c>
      <c r="P52" s="242">
        <v>0</v>
      </c>
      <c r="Q52" s="242">
        <v>0</v>
      </c>
      <c r="R52" s="242">
        <v>0</v>
      </c>
      <c r="S52" s="242">
        <v>0</v>
      </c>
      <c r="T52" s="242">
        <v>0</v>
      </c>
      <c r="U52" s="242">
        <v>0</v>
      </c>
      <c r="V52" s="242">
        <v>0</v>
      </c>
      <c r="W52" s="242">
        <v>0</v>
      </c>
      <c r="X52" s="242">
        <v>0</v>
      </c>
      <c r="Y52" s="242">
        <v>0</v>
      </c>
      <c r="Z52" s="242">
        <v>0</v>
      </c>
      <c r="AA52" s="242">
        <v>0</v>
      </c>
      <c r="AB52" s="242">
        <v>0</v>
      </c>
      <c r="AC52" s="243">
        <v>0</v>
      </c>
      <c r="AD52" s="243">
        <v>0</v>
      </c>
      <c r="AE52" s="243">
        <v>0</v>
      </c>
    </row>
    <row r="53" spans="1:31" x14ac:dyDescent="0.2">
      <c r="A53" s="235" t="s">
        <v>265</v>
      </c>
      <c r="B53" s="242">
        <v>0</v>
      </c>
      <c r="C53" s="242">
        <v>0</v>
      </c>
      <c r="D53" s="242">
        <v>0</v>
      </c>
      <c r="E53" s="242">
        <v>0</v>
      </c>
      <c r="F53" s="242">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2">
        <v>0</v>
      </c>
      <c r="AA53" s="242">
        <v>0</v>
      </c>
      <c r="AB53" s="242">
        <v>0</v>
      </c>
      <c r="AC53" s="243">
        <v>0</v>
      </c>
      <c r="AD53" s="243">
        <v>0</v>
      </c>
      <c r="AE53" s="243">
        <v>0</v>
      </c>
    </row>
    <row r="54" spans="1:31" x14ac:dyDescent="0.2">
      <c r="A54" s="235" t="s">
        <v>264</v>
      </c>
      <c r="B54" s="242">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3">
        <v>0</v>
      </c>
      <c r="AD54" s="243">
        <v>0</v>
      </c>
      <c r="AE54" s="243">
        <v>0</v>
      </c>
    </row>
    <row r="55" spans="1:31" ht="13.5" thickBot="1" x14ac:dyDescent="0.25">
      <c r="A55" s="237" t="s">
        <v>263</v>
      </c>
      <c r="B55" s="244">
        <v>0</v>
      </c>
      <c r="C55" s="244">
        <v>0</v>
      </c>
      <c r="D55" s="244">
        <v>0</v>
      </c>
      <c r="E55" s="244">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44">
        <v>0</v>
      </c>
      <c r="AC55" s="245">
        <v>0</v>
      </c>
      <c r="AD55" s="245">
        <v>0</v>
      </c>
      <c r="AE55" s="245">
        <v>0</v>
      </c>
    </row>
    <row r="56" spans="1:31" ht="13.5" thickBot="1" x14ac:dyDescent="0.25">
      <c r="A56" s="239"/>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7"/>
      <c r="AD56" s="247"/>
      <c r="AE56" s="247"/>
    </row>
    <row r="57" spans="1:31" ht="13.5" thickBot="1" x14ac:dyDescent="0.25">
      <c r="A57" s="241" t="s">
        <v>433</v>
      </c>
      <c r="B57" s="233">
        <v>1</v>
      </c>
      <c r="C57" s="233">
        <v>2</v>
      </c>
      <c r="D57" s="233">
        <v>3</v>
      </c>
      <c r="E57" s="233">
        <v>4</v>
      </c>
      <c r="F57" s="233">
        <v>5</v>
      </c>
      <c r="G57" s="233">
        <v>6</v>
      </c>
      <c r="H57" s="233">
        <v>7</v>
      </c>
      <c r="I57" s="233">
        <v>8</v>
      </c>
      <c r="J57" s="233">
        <v>9</v>
      </c>
      <c r="K57" s="233">
        <v>10</v>
      </c>
      <c r="L57" s="233">
        <v>11</v>
      </c>
      <c r="M57" s="233">
        <v>12</v>
      </c>
      <c r="N57" s="233">
        <v>13</v>
      </c>
      <c r="O57" s="233">
        <v>14</v>
      </c>
      <c r="P57" s="233">
        <v>15</v>
      </c>
      <c r="Q57" s="233">
        <v>16</v>
      </c>
      <c r="R57" s="233">
        <v>17</v>
      </c>
      <c r="S57" s="233">
        <v>18</v>
      </c>
      <c r="T57" s="233">
        <v>19</v>
      </c>
      <c r="U57" s="233">
        <v>20</v>
      </c>
      <c r="V57" s="233">
        <v>21</v>
      </c>
      <c r="W57" s="233">
        <v>22</v>
      </c>
      <c r="X57" s="233">
        <v>23</v>
      </c>
      <c r="Y57" s="233">
        <v>24</v>
      </c>
      <c r="Z57" s="233">
        <v>25</v>
      </c>
      <c r="AA57" s="233">
        <v>26</v>
      </c>
      <c r="AB57" s="233">
        <v>27</v>
      </c>
      <c r="AC57" s="233">
        <v>28</v>
      </c>
      <c r="AD57" s="233">
        <v>29</v>
      </c>
      <c r="AE57" s="233">
        <v>30</v>
      </c>
    </row>
    <row r="58" spans="1:31" x14ac:dyDescent="0.2">
      <c r="A58" s="241" t="s">
        <v>262</v>
      </c>
      <c r="B58" s="233">
        <f t="shared" ref="B58:AE58" si="1">B49*$B$27</f>
        <v>0</v>
      </c>
      <c r="C58" s="233">
        <f>C49*$B$27</f>
        <v>0</v>
      </c>
      <c r="D58" s="233">
        <f t="shared" si="1"/>
        <v>0</v>
      </c>
      <c r="E58" s="233">
        <f t="shared" si="1"/>
        <v>0</v>
      </c>
      <c r="F58" s="233">
        <f>F49*$B$27</f>
        <v>0</v>
      </c>
      <c r="G58" s="233">
        <f t="shared" si="1"/>
        <v>0</v>
      </c>
      <c r="H58" s="233">
        <f t="shared" si="1"/>
        <v>0</v>
      </c>
      <c r="I58" s="233">
        <f t="shared" si="1"/>
        <v>0</v>
      </c>
      <c r="J58" s="233">
        <f t="shared" si="1"/>
        <v>0</v>
      </c>
      <c r="K58" s="233">
        <f t="shared" si="1"/>
        <v>0</v>
      </c>
      <c r="L58" s="233">
        <f t="shared" si="1"/>
        <v>0</v>
      </c>
      <c r="M58" s="233">
        <f t="shared" si="1"/>
        <v>0</v>
      </c>
      <c r="N58" s="233">
        <f t="shared" si="1"/>
        <v>0</v>
      </c>
      <c r="O58" s="233">
        <f t="shared" si="1"/>
        <v>0</v>
      </c>
      <c r="P58" s="233">
        <f t="shared" si="1"/>
        <v>0</v>
      </c>
      <c r="Q58" s="233">
        <f t="shared" si="1"/>
        <v>44184880.200960003</v>
      </c>
      <c r="R58" s="233">
        <f t="shared" si="1"/>
        <v>44184880.200960003</v>
      </c>
      <c r="S58" s="233">
        <f t="shared" si="1"/>
        <v>44184880.200960003</v>
      </c>
      <c r="T58" s="233">
        <f t="shared" si="1"/>
        <v>44184880.200960003</v>
      </c>
      <c r="U58" s="233">
        <f t="shared" si="1"/>
        <v>44184880.200960003</v>
      </c>
      <c r="V58" s="233">
        <f t="shared" si="1"/>
        <v>44184880.200960003</v>
      </c>
      <c r="W58" s="233">
        <f t="shared" si="1"/>
        <v>44184880.200960003</v>
      </c>
      <c r="X58" s="233">
        <f t="shared" si="1"/>
        <v>44184880.200960003</v>
      </c>
      <c r="Y58" s="233">
        <f t="shared" si="1"/>
        <v>44184880.200960003</v>
      </c>
      <c r="Z58" s="233">
        <f t="shared" si="1"/>
        <v>44184880.200960003</v>
      </c>
      <c r="AA58" s="233">
        <f t="shared" si="1"/>
        <v>44184880.200960003</v>
      </c>
      <c r="AB58" s="233">
        <f t="shared" si="1"/>
        <v>44184880.200960003</v>
      </c>
      <c r="AC58" s="233">
        <f t="shared" si="1"/>
        <v>44184880.200960003</v>
      </c>
      <c r="AD58" s="233">
        <f t="shared" si="1"/>
        <v>44184880.200960003</v>
      </c>
      <c r="AE58" s="233">
        <f t="shared" si="1"/>
        <v>44184880.200960003</v>
      </c>
    </row>
    <row r="59" spans="1:31" x14ac:dyDescent="0.2">
      <c r="A59" s="235" t="s">
        <v>261</v>
      </c>
      <c r="B59" s="248">
        <f t="shared" ref="B59:AE59" si="2">SUM(B60:B65)</f>
        <v>0</v>
      </c>
      <c r="C59" s="248">
        <f t="shared" si="2"/>
        <v>0</v>
      </c>
      <c r="D59" s="248">
        <f>SUM(D60:D65)</f>
        <v>0</v>
      </c>
      <c r="E59" s="248">
        <f t="shared" si="2"/>
        <v>0</v>
      </c>
      <c r="F59" s="248">
        <f t="shared" si="2"/>
        <v>944615.46666666656</v>
      </c>
      <c r="G59" s="248">
        <f t="shared" si="2"/>
        <v>913128.28444444446</v>
      </c>
      <c r="H59" s="248">
        <f t="shared" si="2"/>
        <v>881641.10222222225</v>
      </c>
      <c r="I59" s="248">
        <f t="shared" si="2"/>
        <v>798629.44000000018</v>
      </c>
      <c r="J59" s="248">
        <f t="shared" si="2"/>
        <v>818666.73777777795</v>
      </c>
      <c r="K59" s="248">
        <f t="shared" si="2"/>
        <v>787179.55555555585</v>
      </c>
      <c r="L59" s="248">
        <f>SUM(L60:L65)</f>
        <v>2301426.7733333334</v>
      </c>
      <c r="M59" s="248">
        <f t="shared" si="2"/>
        <v>724205.19111111143</v>
      </c>
      <c r="N59" s="248">
        <f t="shared" si="2"/>
        <v>1196512.9244444438</v>
      </c>
      <c r="O59" s="248">
        <f t="shared" si="2"/>
        <v>249011.27490101184</v>
      </c>
      <c r="P59" s="248">
        <f t="shared" si="2"/>
        <v>629743.6444444448</v>
      </c>
      <c r="Q59" s="248">
        <f t="shared" si="2"/>
        <v>598256.46222222247</v>
      </c>
      <c r="R59" s="248">
        <f t="shared" si="2"/>
        <v>566769.28000000026</v>
      </c>
      <c r="S59" s="248">
        <f t="shared" si="2"/>
        <v>535282.09777777805</v>
      </c>
      <c r="T59" s="248">
        <f t="shared" si="2"/>
        <v>503794.91555555584</v>
      </c>
      <c r="U59" s="248">
        <f t="shared" si="2"/>
        <v>60088.181567678461</v>
      </c>
      <c r="V59" s="248">
        <f t="shared" si="2"/>
        <v>440820.55111111136</v>
      </c>
      <c r="W59" s="248">
        <f t="shared" si="2"/>
        <v>409333.36888888915</v>
      </c>
      <c r="X59" s="248">
        <f t="shared" si="2"/>
        <v>377846.18666666694</v>
      </c>
      <c r="Y59" s="248">
        <f t="shared" si="2"/>
        <v>346359.00444444467</v>
      </c>
      <c r="Z59" s="248">
        <f t="shared" si="2"/>
        <v>314871.82222222246</v>
      </c>
      <c r="AA59" s="248">
        <f t="shared" si="2"/>
        <v>283384.64000000025</v>
      </c>
      <c r="AB59" s="248">
        <f t="shared" si="2"/>
        <v>251897.45777777801</v>
      </c>
      <c r="AC59" s="248">
        <f t="shared" si="2"/>
        <v>220410.27555555577</v>
      </c>
      <c r="AD59" s="248">
        <f t="shared" si="2"/>
        <v>188923.09333333353</v>
      </c>
      <c r="AE59" s="248">
        <f t="shared" si="2"/>
        <v>157435.91111111132</v>
      </c>
    </row>
    <row r="60" spans="1:31" x14ac:dyDescent="0.2">
      <c r="A60" s="249" t="s">
        <v>260</v>
      </c>
      <c r="B60" s="242"/>
      <c r="C60" s="242"/>
      <c r="D60" s="242"/>
      <c r="E60" s="242"/>
      <c r="F60" s="242"/>
      <c r="G60" s="242"/>
      <c r="H60" s="242"/>
      <c r="I60" s="242">
        <f>B28*1.2</f>
        <v>-51524.479999999996</v>
      </c>
      <c r="J60" s="242"/>
      <c r="K60" s="242"/>
      <c r="L60" s="242"/>
      <c r="M60" s="242"/>
      <c r="N60" s="242"/>
      <c r="O60" s="242">
        <v>-412219.55176565517</v>
      </c>
      <c r="P60" s="242"/>
      <c r="Q60" s="242"/>
      <c r="R60" s="242"/>
      <c r="S60" s="242"/>
      <c r="T60" s="242"/>
      <c r="U60" s="242">
        <v>-412219.55176565517</v>
      </c>
      <c r="V60" s="242"/>
      <c r="W60" s="242"/>
      <c r="X60" s="242"/>
      <c r="Y60" s="242"/>
      <c r="Z60" s="242"/>
      <c r="AA60" s="242"/>
      <c r="AB60" s="242"/>
      <c r="AC60" s="242"/>
      <c r="AD60" s="242"/>
      <c r="AE60" s="242"/>
    </row>
    <row r="61" spans="1:31" x14ac:dyDescent="0.2">
      <c r="A61" s="249" t="s">
        <v>259</v>
      </c>
      <c r="B61" s="242"/>
      <c r="C61" s="242"/>
      <c r="D61" s="242"/>
      <c r="E61" s="242"/>
      <c r="F61" s="242"/>
      <c r="G61" s="242"/>
      <c r="H61" s="242"/>
      <c r="I61" s="242"/>
      <c r="J61" s="242"/>
      <c r="K61" s="242">
        <v>0</v>
      </c>
      <c r="L61" s="242"/>
      <c r="M61" s="242"/>
      <c r="N61" s="242"/>
      <c r="O61" s="242"/>
      <c r="P61" s="242"/>
      <c r="Q61" s="242"/>
      <c r="R61" s="242"/>
      <c r="S61" s="242">
        <f>K61</f>
        <v>0</v>
      </c>
      <c r="T61" s="242"/>
      <c r="U61" s="242"/>
      <c r="V61" s="242"/>
      <c r="W61" s="242"/>
      <c r="X61" s="242"/>
      <c r="Y61" s="242"/>
      <c r="Z61" s="242"/>
      <c r="AA61" s="250">
        <v>0</v>
      </c>
      <c r="AB61" s="242"/>
      <c r="AC61" s="242"/>
      <c r="AD61" s="242"/>
      <c r="AE61" s="242"/>
    </row>
    <row r="62" spans="1:31" x14ac:dyDescent="0.2">
      <c r="A62" s="249" t="s">
        <v>565</v>
      </c>
      <c r="B62" s="242"/>
      <c r="C62" s="242"/>
      <c r="D62" s="242"/>
      <c r="E62" s="242"/>
      <c r="F62" s="242"/>
      <c r="G62" s="242"/>
      <c r="H62" s="242"/>
      <c r="I62" s="242"/>
      <c r="J62" s="242"/>
      <c r="K62" s="242">
        <v>0</v>
      </c>
      <c r="L62" s="242">
        <f>-$B$34*1.2</f>
        <v>1545734.3999999997</v>
      </c>
      <c r="M62" s="242"/>
      <c r="N62" s="242"/>
      <c r="O62" s="242"/>
      <c r="P62" s="242"/>
      <c r="Q62" s="242"/>
      <c r="R62" s="242"/>
      <c r="S62" s="242">
        <f>K62</f>
        <v>0</v>
      </c>
      <c r="T62" s="242"/>
      <c r="U62" s="242"/>
      <c r="V62" s="242"/>
      <c r="W62" s="242"/>
      <c r="X62" s="242"/>
      <c r="Y62" s="242"/>
      <c r="Z62" s="242"/>
      <c r="AA62" s="242">
        <f>S62</f>
        <v>0</v>
      </c>
      <c r="AB62" s="242"/>
      <c r="AC62" s="242"/>
      <c r="AD62" s="242"/>
      <c r="AE62" s="242"/>
    </row>
    <row r="63" spans="1:31" x14ac:dyDescent="0.2">
      <c r="A63" s="249" t="s">
        <v>430</v>
      </c>
      <c r="B63" s="251">
        <v>0</v>
      </c>
      <c r="C63" s="251">
        <v>0</v>
      </c>
      <c r="D63" s="251">
        <v>0</v>
      </c>
      <c r="E63" s="251">
        <v>0</v>
      </c>
      <c r="F63" s="251">
        <v>0</v>
      </c>
      <c r="G63" s="251">
        <v>0</v>
      </c>
      <c r="H63" s="251">
        <v>0</v>
      </c>
      <c r="I63" s="251">
        <v>0</v>
      </c>
      <c r="J63" s="251">
        <v>0</v>
      </c>
      <c r="K63" s="251">
        <v>0</v>
      </c>
      <c r="L63" s="251">
        <v>0</v>
      </c>
      <c r="M63" s="251">
        <v>0</v>
      </c>
      <c r="N63" s="251">
        <v>0</v>
      </c>
      <c r="O63" s="251">
        <v>0</v>
      </c>
      <c r="P63" s="251">
        <v>0</v>
      </c>
      <c r="Q63" s="251">
        <v>0</v>
      </c>
      <c r="R63" s="251">
        <v>0</v>
      </c>
      <c r="S63" s="251">
        <v>0</v>
      </c>
      <c r="T63" s="251">
        <v>0</v>
      </c>
      <c r="U63" s="251">
        <v>0</v>
      </c>
      <c r="V63" s="251">
        <v>0</v>
      </c>
      <c r="W63" s="251">
        <v>0</v>
      </c>
      <c r="X63" s="251">
        <v>0</v>
      </c>
      <c r="Y63" s="251">
        <v>0</v>
      </c>
      <c r="Z63" s="251">
        <v>0</v>
      </c>
      <c r="AA63" s="251">
        <v>0</v>
      </c>
      <c r="AB63" s="251">
        <v>0</v>
      </c>
      <c r="AC63" s="251">
        <v>0</v>
      </c>
      <c r="AD63" s="251">
        <v>0</v>
      </c>
      <c r="AE63" s="251">
        <v>0</v>
      </c>
    </row>
    <row r="64" spans="1:31" x14ac:dyDescent="0.2">
      <c r="A64" s="249" t="s">
        <v>430</v>
      </c>
      <c r="B64" s="251">
        <v>0</v>
      </c>
      <c r="C64" s="251">
        <v>0</v>
      </c>
      <c r="D64" s="251">
        <v>0</v>
      </c>
      <c r="E64" s="251">
        <v>0</v>
      </c>
      <c r="F64" s="251">
        <v>0</v>
      </c>
      <c r="G64" s="251">
        <v>0</v>
      </c>
      <c r="H64" s="251">
        <v>0</v>
      </c>
      <c r="I64" s="251">
        <v>0</v>
      </c>
      <c r="J64" s="251">
        <v>0</v>
      </c>
      <c r="K64" s="251">
        <v>0</v>
      </c>
      <c r="L64" s="251">
        <v>0</v>
      </c>
      <c r="M64" s="251">
        <v>0</v>
      </c>
      <c r="N64" s="251">
        <v>0</v>
      </c>
      <c r="O64" s="251">
        <v>0</v>
      </c>
      <c r="P64" s="251">
        <v>0</v>
      </c>
      <c r="Q64" s="251">
        <v>0</v>
      </c>
      <c r="R64" s="251">
        <v>0</v>
      </c>
      <c r="S64" s="251">
        <v>0</v>
      </c>
      <c r="T64" s="251">
        <v>0</v>
      </c>
      <c r="U64" s="251">
        <v>0</v>
      </c>
      <c r="V64" s="251">
        <v>0</v>
      </c>
      <c r="W64" s="251">
        <v>0</v>
      </c>
      <c r="X64" s="251">
        <v>0</v>
      </c>
      <c r="Y64" s="251">
        <v>0</v>
      </c>
      <c r="Z64" s="251">
        <v>0</v>
      </c>
      <c r="AA64" s="251">
        <v>0</v>
      </c>
      <c r="AB64" s="251">
        <v>0</v>
      </c>
      <c r="AC64" s="251">
        <v>0</v>
      </c>
      <c r="AD64" s="251">
        <v>0</v>
      </c>
      <c r="AE64" s="251">
        <v>0</v>
      </c>
    </row>
    <row r="65" spans="1:31" x14ac:dyDescent="0.2">
      <c r="A65" s="249" t="s">
        <v>567</v>
      </c>
      <c r="B65" s="251">
        <v>0</v>
      </c>
      <c r="C65" s="251">
        <v>0</v>
      </c>
      <c r="D65" s="251">
        <v>0</v>
      </c>
      <c r="E65" s="251">
        <v>0</v>
      </c>
      <c r="F65" s="251">
        <f>-($B$24+F67)*0.022</f>
        <v>944615.46666666656</v>
      </c>
      <c r="G65" s="251">
        <f>-($B$24+G67+F67)*0.022</f>
        <v>913128.28444444446</v>
      </c>
      <c r="H65" s="255">
        <f>-($B$24+H67+F67+G67)*0.022</f>
        <v>881641.10222222225</v>
      </c>
      <c r="I65" s="255">
        <f>-($B$24+I67+G67+H67+F67)*0.022</f>
        <v>850153.92000000016</v>
      </c>
      <c r="J65" s="255">
        <f>-($B$24+J67+H67+I67+G67+F67)*0.022</f>
        <v>818666.73777777795</v>
      </c>
      <c r="K65" s="255">
        <f>-($B$24+K67+I67+J67+H67+F67+G67)*0.022</f>
        <v>787179.55555555585</v>
      </c>
      <c r="L65" s="255">
        <f>-($B$24+F67+L67+J67+K67+I67+G67+H67)*0.022</f>
        <v>755692.37333333364</v>
      </c>
      <c r="M65" s="255">
        <f>-($B$24+G67+M67+K67+L67+J67+H67+I67+F67)*0.022</f>
        <v>724205.19111111143</v>
      </c>
      <c r="N65" s="255">
        <f>(-$B$24+H67+N67+L67+M67+K67+I67+J67+G67+F67+E67+D67)*0.022</f>
        <v>1196512.9244444438</v>
      </c>
      <c r="O65" s="255">
        <f>-($B$24+I67+O67+M67+N67+L67+J67+K67+H67+G67+F67+D67+E67)*0.022</f>
        <v>661230.82666666701</v>
      </c>
      <c r="P65" s="255">
        <f>-($B$24+J67+P67+N67+O67+M67+K67+L67+I67+H67+G67+E67+D67+F67)*0.022</f>
        <v>629743.6444444448</v>
      </c>
      <c r="Q65" s="255">
        <f>-($B$24+K67+Q67+O67+P67+N67+L67+M67+J67+I67+H67+F67+G67+D67+E67)*0.022</f>
        <v>598256.46222222247</v>
      </c>
      <c r="R65" s="255">
        <f>-($B$24+L67+R67+P67+Q67+O67+M67+N67+K67+J67+I67+G67+H67+E67+D67+F67)*0.022</f>
        <v>566769.28000000026</v>
      </c>
      <c r="S65" s="255">
        <f>-($B$24+M67+S67+Q67+R67+P67+N67+O67+L67+K67+J67+H67+I67+F67+E67+D67+G67)*0.022</f>
        <v>535282.09777777805</v>
      </c>
      <c r="T65" s="255">
        <f>-($B$24+N67+T67+R67+S67+Q67+O67+P67+M67+L67+K67+I67+J67+G67+F67+E67+D67+H67)*0.022</f>
        <v>503794.91555555584</v>
      </c>
      <c r="U65" s="255">
        <f>-($B$24+O67+U67+S67+T67+R67+P67+Q67+N67+M67+L67+J67+K67+H67+G67+F67+E67+D67+I67)*0.022</f>
        <v>472307.73333333363</v>
      </c>
      <c r="V65" s="255">
        <f>-($B$24+P67+V67+T67+U67+S67+Q67+R67+O67+N67+M67+K67+L67+I67+H67+G67+F67+D67+E67++J67)*0.022</f>
        <v>440820.55111111136</v>
      </c>
      <c r="W65" s="255">
        <f>-($B$24+Q67+W67+U67+V67+T67+R67+S67+P67+O67+N67+L67+M67+J67+I67+H67+G67+E67+F67+D67+K67)*0.022</f>
        <v>409333.36888888915</v>
      </c>
      <c r="X65" s="255">
        <f>-($B$24+R67+X67+V67+W67+U67+S67+T67+Q67+P67+O67+M67+N67+K67+J67+I67+H67+F67+G67+E67+D67+L67)*0.022</f>
        <v>377846.18666666694</v>
      </c>
      <c r="Y65" s="255">
        <f>-($B$24+S67+Y67+W67+X67+V67+T67+U67+R67+Q67+P67+N67+O67+L67+K67+J67+I67+G67+H67+F67+E67+D67+M67)*0.022</f>
        <v>346359.00444444467</v>
      </c>
      <c r="Z65" s="255">
        <f>-($B$24+T67+Z67+X67+Y67+W67+U67+V67+S67+R67+Q67+O67+P67+M67+L67+K67+J67+H67+I67+G67+F67+E67+D67+N67)*0.022</f>
        <v>314871.82222222246</v>
      </c>
      <c r="AA65" s="255">
        <f>-($B$24+U67+AA67+Y67+Z67+X67+V67+W67+T67+S67+R67+P67+Q67+N67+M67+L67+K67+I67+J67+H67+G67+F67+E67+D67+O67)*0.022</f>
        <v>283384.64000000025</v>
      </c>
      <c r="AB65" s="255">
        <f>-($B$24+V67+AB67+Z67+AA67+Y67+W67+X67+U67+T67+S67+Q67+R67+O67+N67+M67+L67+J67+K67+I67+H67+G67+F67+E67+D67+P67)*0.022</f>
        <v>251897.45777777801</v>
      </c>
      <c r="AC65" s="255">
        <f>-($B$24+W67+AC67+AA67+AB67+Z67+X67+Y67+V67+U67+T67+R67+S67+P67+O67+N67+M67+K67+L67+J67+I67+H67+G67+F67+E67+D67+Q67)*0.022</f>
        <v>220410.27555555577</v>
      </c>
      <c r="AD65" s="255">
        <f>-($B$24+X67+AD67+AB67+AC67+AA67+Y67+Z67+W67+V67+U67+S67+T67+Q67+P67+O67+N67+L67+M67+K67+J67+I67+H67+G67+F67+E67+D67+R67)*0.022</f>
        <v>188923.09333333353</v>
      </c>
      <c r="AE65" s="255">
        <f>-($B$24+Y67+AE67+AC67+AD67+AB67+Z67+AA67+X67+W67+V67+T67+U67+R67+Q67+P67+O67+M67+N67+L67+K67+J67+I67+H67+G67+F67+E67+D67+S67)*0.022</f>
        <v>157435.91111111132</v>
      </c>
    </row>
    <row r="66" spans="1:31" x14ac:dyDescent="0.2">
      <c r="A66" s="252" t="s">
        <v>568</v>
      </c>
      <c r="B66" s="253">
        <f t="shared" ref="B66:AE66" si="3">B58+B59</f>
        <v>0</v>
      </c>
      <c r="C66" s="253">
        <f t="shared" si="3"/>
        <v>0</v>
      </c>
      <c r="D66" s="253">
        <f t="shared" si="3"/>
        <v>0</v>
      </c>
      <c r="E66" s="253">
        <f t="shared" si="3"/>
        <v>0</v>
      </c>
      <c r="F66" s="253">
        <f t="shared" si="3"/>
        <v>944615.46666666656</v>
      </c>
      <c r="G66" s="253">
        <f t="shared" si="3"/>
        <v>913128.28444444446</v>
      </c>
      <c r="H66" s="253">
        <f t="shared" si="3"/>
        <v>881641.10222222225</v>
      </c>
      <c r="I66" s="253">
        <f t="shared" si="3"/>
        <v>798629.44000000018</v>
      </c>
      <c r="J66" s="253">
        <f t="shared" si="3"/>
        <v>818666.73777777795</v>
      </c>
      <c r="K66" s="253">
        <f t="shared" si="3"/>
        <v>787179.55555555585</v>
      </c>
      <c r="L66" s="253">
        <f t="shared" si="3"/>
        <v>2301426.7733333334</v>
      </c>
      <c r="M66" s="253">
        <f t="shared" si="3"/>
        <v>724205.19111111143</v>
      </c>
      <c r="N66" s="253">
        <f t="shared" si="3"/>
        <v>1196512.9244444438</v>
      </c>
      <c r="O66" s="253">
        <f t="shared" si="3"/>
        <v>249011.27490101184</v>
      </c>
      <c r="P66" s="253">
        <f t="shared" si="3"/>
        <v>629743.6444444448</v>
      </c>
      <c r="Q66" s="253">
        <f t="shared" si="3"/>
        <v>44783136.663182229</v>
      </c>
      <c r="R66" s="253">
        <f t="shared" si="3"/>
        <v>44751649.480960004</v>
      </c>
      <c r="S66" s="253">
        <f t="shared" si="3"/>
        <v>44720162.298737779</v>
      </c>
      <c r="T66" s="253">
        <f t="shared" si="3"/>
        <v>44688675.116515562</v>
      </c>
      <c r="U66" s="253">
        <f t="shared" si="3"/>
        <v>44244968.382527679</v>
      </c>
      <c r="V66" s="253">
        <f t="shared" si="3"/>
        <v>44625700.752071112</v>
      </c>
      <c r="W66" s="253">
        <f t="shared" si="3"/>
        <v>44594213.569848895</v>
      </c>
      <c r="X66" s="253">
        <f t="shared" si="3"/>
        <v>44562726.38762667</v>
      </c>
      <c r="Y66" s="253">
        <f t="shared" si="3"/>
        <v>44531239.205404446</v>
      </c>
      <c r="Z66" s="253">
        <f t="shared" si="3"/>
        <v>44499752.023182228</v>
      </c>
      <c r="AA66" s="253">
        <f t="shared" si="3"/>
        <v>44468264.840960003</v>
      </c>
      <c r="AB66" s="253">
        <f t="shared" si="3"/>
        <v>44436777.658737779</v>
      </c>
      <c r="AC66" s="253">
        <f t="shared" si="3"/>
        <v>44405290.476515561</v>
      </c>
      <c r="AD66" s="253">
        <f t="shared" si="3"/>
        <v>44373803.294293337</v>
      </c>
      <c r="AE66" s="253">
        <f t="shared" si="3"/>
        <v>44342316.112071112</v>
      </c>
    </row>
    <row r="67" spans="1:31" x14ac:dyDescent="0.2">
      <c r="A67" s="249" t="s">
        <v>255</v>
      </c>
      <c r="B67" s="254">
        <v>0</v>
      </c>
      <c r="C67" s="254"/>
      <c r="D67" s="254">
        <v>0</v>
      </c>
      <c r="E67" s="255">
        <f t="shared" ref="E67:AE67" si="4">D67</f>
        <v>0</v>
      </c>
      <c r="F67" s="254"/>
      <c r="G67" s="254">
        <f>-($B$24)*$B$27/$B$26</f>
        <v>1431235.5555555555</v>
      </c>
      <c r="H67" s="255">
        <f t="shared" si="4"/>
        <v>1431235.5555555555</v>
      </c>
      <c r="I67" s="255">
        <f t="shared" si="4"/>
        <v>1431235.5555555555</v>
      </c>
      <c r="J67" s="255">
        <f t="shared" si="4"/>
        <v>1431235.5555555555</v>
      </c>
      <c r="K67" s="255">
        <f t="shared" si="4"/>
        <v>1431235.5555555555</v>
      </c>
      <c r="L67" s="255">
        <f t="shared" si="4"/>
        <v>1431235.5555555555</v>
      </c>
      <c r="M67" s="255">
        <f t="shared" si="4"/>
        <v>1431235.5555555555</v>
      </c>
      <c r="N67" s="255">
        <f t="shared" si="4"/>
        <v>1431235.5555555555</v>
      </c>
      <c r="O67" s="255">
        <f t="shared" si="4"/>
        <v>1431235.5555555555</v>
      </c>
      <c r="P67" s="255">
        <f t="shared" si="4"/>
        <v>1431235.5555555555</v>
      </c>
      <c r="Q67" s="255">
        <f t="shared" si="4"/>
        <v>1431235.5555555555</v>
      </c>
      <c r="R67" s="255">
        <f t="shared" si="4"/>
        <v>1431235.5555555555</v>
      </c>
      <c r="S67" s="255">
        <f t="shared" si="4"/>
        <v>1431235.5555555555</v>
      </c>
      <c r="T67" s="255">
        <f t="shared" si="4"/>
        <v>1431235.5555555555</v>
      </c>
      <c r="U67" s="255">
        <f t="shared" si="4"/>
        <v>1431235.5555555555</v>
      </c>
      <c r="V67" s="255">
        <f t="shared" si="4"/>
        <v>1431235.5555555555</v>
      </c>
      <c r="W67" s="255">
        <f t="shared" si="4"/>
        <v>1431235.5555555555</v>
      </c>
      <c r="X67" s="255">
        <f t="shared" si="4"/>
        <v>1431235.5555555555</v>
      </c>
      <c r="Y67" s="255">
        <f t="shared" si="4"/>
        <v>1431235.5555555555</v>
      </c>
      <c r="Z67" s="255">
        <f t="shared" si="4"/>
        <v>1431235.5555555555</v>
      </c>
      <c r="AA67" s="255">
        <f t="shared" si="4"/>
        <v>1431235.5555555555</v>
      </c>
      <c r="AB67" s="255">
        <f t="shared" si="4"/>
        <v>1431235.5555555555</v>
      </c>
      <c r="AC67" s="255">
        <f t="shared" si="4"/>
        <v>1431235.5555555555</v>
      </c>
      <c r="AD67" s="255">
        <f t="shared" si="4"/>
        <v>1431235.5555555555</v>
      </c>
      <c r="AE67" s="255">
        <f t="shared" si="4"/>
        <v>1431235.5555555555</v>
      </c>
    </row>
    <row r="68" spans="1:31" x14ac:dyDescent="0.2">
      <c r="A68" s="252" t="s">
        <v>569</v>
      </c>
      <c r="B68" s="253">
        <f t="shared" ref="B68:AE68" si="5">B66+B67</f>
        <v>0</v>
      </c>
      <c r="C68" s="253">
        <f t="shared" si="5"/>
        <v>0</v>
      </c>
      <c r="D68" s="253">
        <f>D66+D67</f>
        <v>0</v>
      </c>
      <c r="E68" s="253">
        <f t="shared" si="5"/>
        <v>0</v>
      </c>
      <c r="F68" s="253">
        <f t="shared" si="5"/>
        <v>944615.46666666656</v>
      </c>
      <c r="G68" s="253">
        <f t="shared" si="5"/>
        <v>2344363.84</v>
      </c>
      <c r="H68" s="253">
        <f t="shared" si="5"/>
        <v>2312876.6577777779</v>
      </c>
      <c r="I68" s="253">
        <f t="shared" si="5"/>
        <v>2229864.9955555554</v>
      </c>
      <c r="J68" s="253">
        <f t="shared" si="5"/>
        <v>2249902.2933333335</v>
      </c>
      <c r="K68" s="253">
        <f t="shared" si="5"/>
        <v>2218415.1111111115</v>
      </c>
      <c r="L68" s="253">
        <f t="shared" si="5"/>
        <v>3732662.3288888889</v>
      </c>
      <c r="M68" s="253">
        <f t="shared" si="5"/>
        <v>2155440.7466666671</v>
      </c>
      <c r="N68" s="253">
        <f t="shared" si="5"/>
        <v>2627748.4799999995</v>
      </c>
      <c r="O68" s="253">
        <f t="shared" si="5"/>
        <v>1680246.8304565675</v>
      </c>
      <c r="P68" s="253">
        <f t="shared" si="5"/>
        <v>2060979.2000000002</v>
      </c>
      <c r="Q68" s="253">
        <f t="shared" si="5"/>
        <v>46214372.218737781</v>
      </c>
      <c r="R68" s="253">
        <f t="shared" si="5"/>
        <v>46182885.036515556</v>
      </c>
      <c r="S68" s="253">
        <f t="shared" si="5"/>
        <v>46151397.854293332</v>
      </c>
      <c r="T68" s="253">
        <f t="shared" si="5"/>
        <v>46119910.672071114</v>
      </c>
      <c r="U68" s="253">
        <f t="shared" si="5"/>
        <v>45676203.938083231</v>
      </c>
      <c r="V68" s="253">
        <f t="shared" si="5"/>
        <v>46056936.307626665</v>
      </c>
      <c r="W68" s="253">
        <f t="shared" si="5"/>
        <v>46025449.125404447</v>
      </c>
      <c r="X68" s="253">
        <f t="shared" si="5"/>
        <v>45993961.943182223</v>
      </c>
      <c r="Y68" s="253">
        <f t="shared" si="5"/>
        <v>45962474.760959998</v>
      </c>
      <c r="Z68" s="253">
        <f t="shared" si="5"/>
        <v>45930987.57873778</v>
      </c>
      <c r="AA68" s="253">
        <f t="shared" si="5"/>
        <v>45899500.396515556</v>
      </c>
      <c r="AB68" s="253">
        <f t="shared" si="5"/>
        <v>45868013.214293331</v>
      </c>
      <c r="AC68" s="253">
        <f t="shared" si="5"/>
        <v>45836526.032071114</v>
      </c>
      <c r="AD68" s="253">
        <f t="shared" si="5"/>
        <v>45805038.849848889</v>
      </c>
      <c r="AE68" s="253">
        <f t="shared" si="5"/>
        <v>45773551.667626664</v>
      </c>
    </row>
    <row r="69" spans="1:31" x14ac:dyDescent="0.2">
      <c r="A69" s="249" t="s">
        <v>254</v>
      </c>
      <c r="B69" s="251">
        <v>0</v>
      </c>
      <c r="C69" s="251">
        <v>0</v>
      </c>
      <c r="D69" s="251">
        <v>0</v>
      </c>
      <c r="E69" s="251">
        <v>0</v>
      </c>
      <c r="F69" s="251">
        <v>0</v>
      </c>
      <c r="G69" s="251">
        <v>0</v>
      </c>
      <c r="H69" s="251">
        <v>0</v>
      </c>
      <c r="I69" s="251">
        <v>0</v>
      </c>
      <c r="J69" s="251">
        <v>0</v>
      </c>
      <c r="K69" s="251">
        <v>0</v>
      </c>
      <c r="L69" s="251">
        <v>0</v>
      </c>
      <c r="M69" s="251">
        <v>0</v>
      </c>
      <c r="N69" s="251">
        <v>0</v>
      </c>
      <c r="O69" s="251">
        <v>0</v>
      </c>
      <c r="P69" s="251">
        <v>0</v>
      </c>
      <c r="Q69" s="251">
        <v>0</v>
      </c>
      <c r="R69" s="251">
        <v>0</v>
      </c>
      <c r="S69" s="251">
        <v>0</v>
      </c>
      <c r="T69" s="251">
        <v>0</v>
      </c>
      <c r="U69" s="251">
        <v>0</v>
      </c>
      <c r="V69" s="251">
        <v>0</v>
      </c>
      <c r="W69" s="251">
        <v>0</v>
      </c>
      <c r="X69" s="251">
        <v>0</v>
      </c>
      <c r="Y69" s="251">
        <v>0</v>
      </c>
      <c r="Z69" s="251">
        <v>0</v>
      </c>
      <c r="AA69" s="251">
        <v>0</v>
      </c>
      <c r="AB69" s="251">
        <v>0</v>
      </c>
      <c r="AC69" s="251">
        <v>0</v>
      </c>
      <c r="AD69" s="251">
        <v>0</v>
      </c>
      <c r="AE69" s="251">
        <v>0</v>
      </c>
    </row>
    <row r="70" spans="1:31" x14ac:dyDescent="0.2">
      <c r="A70" s="252" t="s">
        <v>258</v>
      </c>
      <c r="B70" s="253">
        <f t="shared" ref="B70:AE70" si="6">B68+B69</f>
        <v>0</v>
      </c>
      <c r="C70" s="253">
        <f t="shared" si="6"/>
        <v>0</v>
      </c>
      <c r="D70" s="253">
        <f t="shared" si="6"/>
        <v>0</v>
      </c>
      <c r="E70" s="253">
        <f t="shared" si="6"/>
        <v>0</v>
      </c>
      <c r="F70" s="253">
        <f t="shared" si="6"/>
        <v>944615.46666666656</v>
      </c>
      <c r="G70" s="253">
        <f t="shared" si="6"/>
        <v>2344363.84</v>
      </c>
      <c r="H70" s="253">
        <f t="shared" si="6"/>
        <v>2312876.6577777779</v>
      </c>
      <c r="I70" s="253">
        <f t="shared" si="6"/>
        <v>2229864.9955555554</v>
      </c>
      <c r="J70" s="253">
        <f t="shared" si="6"/>
        <v>2249902.2933333335</v>
      </c>
      <c r="K70" s="253">
        <f t="shared" si="6"/>
        <v>2218415.1111111115</v>
      </c>
      <c r="L70" s="253">
        <f t="shared" si="6"/>
        <v>3732662.3288888889</v>
      </c>
      <c r="M70" s="253">
        <f t="shared" si="6"/>
        <v>2155440.7466666671</v>
      </c>
      <c r="N70" s="253">
        <f t="shared" si="6"/>
        <v>2627748.4799999995</v>
      </c>
      <c r="O70" s="253">
        <f t="shared" si="6"/>
        <v>1680246.8304565675</v>
      </c>
      <c r="P70" s="253">
        <f t="shared" si="6"/>
        <v>2060979.2000000002</v>
      </c>
      <c r="Q70" s="253">
        <f t="shared" si="6"/>
        <v>46214372.218737781</v>
      </c>
      <c r="R70" s="253">
        <f t="shared" si="6"/>
        <v>46182885.036515556</v>
      </c>
      <c r="S70" s="253">
        <f t="shared" si="6"/>
        <v>46151397.854293332</v>
      </c>
      <c r="T70" s="253">
        <f t="shared" si="6"/>
        <v>46119910.672071114</v>
      </c>
      <c r="U70" s="253">
        <f t="shared" si="6"/>
        <v>45676203.938083231</v>
      </c>
      <c r="V70" s="253">
        <f t="shared" si="6"/>
        <v>46056936.307626665</v>
      </c>
      <c r="W70" s="253">
        <f t="shared" si="6"/>
        <v>46025449.125404447</v>
      </c>
      <c r="X70" s="253">
        <f t="shared" si="6"/>
        <v>45993961.943182223</v>
      </c>
      <c r="Y70" s="253">
        <f t="shared" si="6"/>
        <v>45962474.760959998</v>
      </c>
      <c r="Z70" s="253">
        <f t="shared" si="6"/>
        <v>45930987.57873778</v>
      </c>
      <c r="AA70" s="253">
        <f t="shared" si="6"/>
        <v>45899500.396515556</v>
      </c>
      <c r="AB70" s="253">
        <f t="shared" si="6"/>
        <v>45868013.214293331</v>
      </c>
      <c r="AC70" s="253">
        <f t="shared" si="6"/>
        <v>45836526.032071114</v>
      </c>
      <c r="AD70" s="253">
        <f t="shared" si="6"/>
        <v>45805038.849848889</v>
      </c>
      <c r="AE70" s="253">
        <f t="shared" si="6"/>
        <v>45773551.667626664</v>
      </c>
    </row>
    <row r="71" spans="1:31" x14ac:dyDescent="0.2">
      <c r="A71" s="249" t="s">
        <v>253</v>
      </c>
      <c r="B71" s="254">
        <f t="shared" ref="B71:AE71" si="7">-B70*$B$35</f>
        <v>0</v>
      </c>
      <c r="C71" s="254">
        <f t="shared" si="7"/>
        <v>0</v>
      </c>
      <c r="D71" s="254">
        <f t="shared" si="7"/>
        <v>0</v>
      </c>
      <c r="E71" s="254">
        <f t="shared" si="7"/>
        <v>0</v>
      </c>
      <c r="F71" s="254">
        <f t="shared" si="7"/>
        <v>-188923.09333333332</v>
      </c>
      <c r="G71" s="254">
        <f t="shared" si="7"/>
        <v>-468872.76799999998</v>
      </c>
      <c r="H71" s="254">
        <f t="shared" si="7"/>
        <v>-462575.33155555557</v>
      </c>
      <c r="I71" s="254">
        <f t="shared" si="7"/>
        <v>-445972.9991111111</v>
      </c>
      <c r="J71" s="254">
        <f t="shared" si="7"/>
        <v>-449980.4586666667</v>
      </c>
      <c r="K71" s="254">
        <f t="shared" si="7"/>
        <v>-443683.02222222229</v>
      </c>
      <c r="L71" s="254">
        <f t="shared" si="7"/>
        <v>-746532.46577777783</v>
      </c>
      <c r="M71" s="254">
        <f t="shared" si="7"/>
        <v>-431088.14933333342</v>
      </c>
      <c r="N71" s="254">
        <f t="shared" si="7"/>
        <v>-525549.69599999988</v>
      </c>
      <c r="O71" s="254">
        <f t="shared" si="7"/>
        <v>-336049.36609131354</v>
      </c>
      <c r="P71" s="254">
        <f t="shared" si="7"/>
        <v>-412195.84000000008</v>
      </c>
      <c r="Q71" s="254">
        <f t="shared" si="7"/>
        <v>-9242874.4437475558</v>
      </c>
      <c r="R71" s="254">
        <f t="shared" si="7"/>
        <v>-9236577.0073031113</v>
      </c>
      <c r="S71" s="254">
        <f t="shared" si="7"/>
        <v>-9230279.5708586667</v>
      </c>
      <c r="T71" s="254">
        <f t="shared" si="7"/>
        <v>-9223982.134414224</v>
      </c>
      <c r="U71" s="254">
        <f t="shared" si="7"/>
        <v>-9135240.7876166459</v>
      </c>
      <c r="V71" s="254">
        <f t="shared" si="7"/>
        <v>-9211387.2615253329</v>
      </c>
      <c r="W71" s="254">
        <f t="shared" si="7"/>
        <v>-9205089.8250808902</v>
      </c>
      <c r="X71" s="254">
        <f t="shared" si="7"/>
        <v>-9198792.3886364456</v>
      </c>
      <c r="Y71" s="254">
        <f t="shared" si="7"/>
        <v>-9192494.9521919992</v>
      </c>
      <c r="Z71" s="254">
        <f t="shared" si="7"/>
        <v>-9186197.5157475565</v>
      </c>
      <c r="AA71" s="254">
        <f t="shared" si="7"/>
        <v>-9179900.0793031119</v>
      </c>
      <c r="AB71" s="254">
        <f t="shared" si="7"/>
        <v>-9173602.6428586673</v>
      </c>
      <c r="AC71" s="254">
        <f t="shared" si="7"/>
        <v>-9167305.2064142227</v>
      </c>
      <c r="AD71" s="254">
        <f t="shared" si="7"/>
        <v>-9161007.7699697781</v>
      </c>
      <c r="AE71" s="254">
        <f t="shared" si="7"/>
        <v>-9154710.3335253336</v>
      </c>
    </row>
    <row r="72" spans="1:31" ht="13.5" thickBot="1" x14ac:dyDescent="0.25">
      <c r="A72" s="256" t="s">
        <v>257</v>
      </c>
      <c r="B72" s="257">
        <f t="shared" ref="B72:AE72" si="8">B70+B71</f>
        <v>0</v>
      </c>
      <c r="C72" s="257">
        <f t="shared" si="8"/>
        <v>0</v>
      </c>
      <c r="D72" s="257">
        <f t="shared" si="8"/>
        <v>0</v>
      </c>
      <c r="E72" s="257">
        <f t="shared" si="8"/>
        <v>0</v>
      </c>
      <c r="F72" s="257">
        <f t="shared" si="8"/>
        <v>755692.37333333329</v>
      </c>
      <c r="G72" s="257">
        <f t="shared" si="8"/>
        <v>1875491.0719999999</v>
      </c>
      <c r="H72" s="257">
        <f t="shared" si="8"/>
        <v>1850301.3262222223</v>
      </c>
      <c r="I72" s="257">
        <f t="shared" si="8"/>
        <v>1783891.9964444444</v>
      </c>
      <c r="J72" s="257">
        <f t="shared" si="8"/>
        <v>1799921.8346666668</v>
      </c>
      <c r="K72" s="257">
        <f t="shared" si="8"/>
        <v>1774732.0888888892</v>
      </c>
      <c r="L72" s="257">
        <f t="shared" si="8"/>
        <v>2986129.8631111113</v>
      </c>
      <c r="M72" s="257">
        <f t="shared" si="8"/>
        <v>1724352.5973333337</v>
      </c>
      <c r="N72" s="257">
        <f t="shared" si="8"/>
        <v>2102198.7839999995</v>
      </c>
      <c r="O72" s="257">
        <f t="shared" si="8"/>
        <v>1344197.4643652539</v>
      </c>
      <c r="P72" s="257">
        <f t="shared" si="8"/>
        <v>1648783.3600000001</v>
      </c>
      <c r="Q72" s="257">
        <f t="shared" si="8"/>
        <v>36971497.774990223</v>
      </c>
      <c r="R72" s="257">
        <f t="shared" si="8"/>
        <v>36946308.029212445</v>
      </c>
      <c r="S72" s="257">
        <f t="shared" si="8"/>
        <v>36921118.283434667</v>
      </c>
      <c r="T72" s="257">
        <f t="shared" si="8"/>
        <v>36895928.537656888</v>
      </c>
      <c r="U72" s="257">
        <f t="shared" si="8"/>
        <v>36540963.150466584</v>
      </c>
      <c r="V72" s="257">
        <f t="shared" si="8"/>
        <v>36845549.046101332</v>
      </c>
      <c r="W72" s="257">
        <f t="shared" si="8"/>
        <v>36820359.300323561</v>
      </c>
      <c r="X72" s="257">
        <f t="shared" si="8"/>
        <v>36795169.554545775</v>
      </c>
      <c r="Y72" s="257">
        <f t="shared" si="8"/>
        <v>36769979.808767997</v>
      </c>
      <c r="Z72" s="257">
        <f t="shared" si="8"/>
        <v>36744790.062990226</v>
      </c>
      <c r="AA72" s="257">
        <f t="shared" si="8"/>
        <v>36719600.317212448</v>
      </c>
      <c r="AB72" s="257">
        <f t="shared" si="8"/>
        <v>36694410.571434662</v>
      </c>
      <c r="AC72" s="257">
        <f t="shared" si="8"/>
        <v>36669220.825656891</v>
      </c>
      <c r="AD72" s="257">
        <f t="shared" si="8"/>
        <v>36644031.079879113</v>
      </c>
      <c r="AE72" s="257">
        <f t="shared" si="8"/>
        <v>36618841.334101334</v>
      </c>
    </row>
    <row r="73" spans="1:31" ht="13.5" thickBot="1" x14ac:dyDescent="0.25">
      <c r="A73" s="239"/>
      <c r="B73" s="258">
        <v>0.5</v>
      </c>
      <c r="C73" s="258">
        <v>1.5</v>
      </c>
      <c r="D73" s="258">
        <v>2.5</v>
      </c>
      <c r="E73" s="258">
        <v>3.5</v>
      </c>
      <c r="F73" s="258">
        <v>4.5</v>
      </c>
      <c r="G73" s="258">
        <v>5.5</v>
      </c>
      <c r="H73" s="258">
        <v>6.5</v>
      </c>
      <c r="I73" s="258">
        <v>7.5</v>
      </c>
      <c r="J73" s="258">
        <v>8.5</v>
      </c>
      <c r="K73" s="258">
        <v>9.5</v>
      </c>
      <c r="L73" s="258">
        <v>10.5</v>
      </c>
      <c r="M73" s="258">
        <v>11.5</v>
      </c>
      <c r="N73" s="258">
        <v>12.5</v>
      </c>
      <c r="O73" s="258">
        <v>13.5</v>
      </c>
      <c r="P73" s="258">
        <v>14.5</v>
      </c>
      <c r="Q73" s="258">
        <v>15.5</v>
      </c>
      <c r="R73" s="258">
        <v>16.5</v>
      </c>
      <c r="S73" s="258">
        <v>17.5</v>
      </c>
      <c r="T73" s="258">
        <v>18.5</v>
      </c>
      <c r="U73" s="258">
        <v>19.5</v>
      </c>
      <c r="V73" s="258">
        <v>20.5</v>
      </c>
      <c r="W73" s="258">
        <v>21.5</v>
      </c>
      <c r="X73" s="258">
        <v>22.5</v>
      </c>
      <c r="Y73" s="258">
        <v>23.5</v>
      </c>
      <c r="Z73" s="258">
        <v>24.5</v>
      </c>
      <c r="AA73" s="258">
        <v>25.5</v>
      </c>
      <c r="AB73" s="258">
        <v>26.5</v>
      </c>
      <c r="AC73" s="258">
        <v>27.5</v>
      </c>
      <c r="AD73" s="258">
        <v>28.5</v>
      </c>
      <c r="AE73" s="258">
        <v>29.5</v>
      </c>
    </row>
    <row r="74" spans="1:31" x14ac:dyDescent="0.2">
      <c r="A74" s="241" t="s">
        <v>256</v>
      </c>
      <c r="B74" s="233">
        <v>1</v>
      </c>
      <c r="C74" s="233">
        <v>2</v>
      </c>
      <c r="D74" s="233">
        <v>3</v>
      </c>
      <c r="E74" s="233">
        <v>4</v>
      </c>
      <c r="F74" s="233">
        <v>5</v>
      </c>
      <c r="G74" s="233">
        <v>6</v>
      </c>
      <c r="H74" s="233">
        <v>7</v>
      </c>
      <c r="I74" s="233">
        <v>8</v>
      </c>
      <c r="J74" s="233">
        <v>9</v>
      </c>
      <c r="K74" s="233">
        <v>10</v>
      </c>
      <c r="L74" s="233">
        <v>11</v>
      </c>
      <c r="M74" s="233">
        <v>12</v>
      </c>
      <c r="N74" s="233">
        <v>13</v>
      </c>
      <c r="O74" s="233">
        <v>14</v>
      </c>
      <c r="P74" s="233">
        <v>15</v>
      </c>
      <c r="Q74" s="233">
        <v>16</v>
      </c>
      <c r="R74" s="233">
        <v>17</v>
      </c>
      <c r="S74" s="233">
        <v>18</v>
      </c>
      <c r="T74" s="233">
        <v>19</v>
      </c>
      <c r="U74" s="233">
        <v>20</v>
      </c>
      <c r="V74" s="233">
        <v>21</v>
      </c>
      <c r="W74" s="233">
        <v>22</v>
      </c>
      <c r="X74" s="233">
        <v>23</v>
      </c>
      <c r="Y74" s="233">
        <v>24</v>
      </c>
      <c r="Z74" s="233">
        <v>25</v>
      </c>
      <c r="AA74" s="233">
        <v>26</v>
      </c>
      <c r="AB74" s="233">
        <v>27</v>
      </c>
      <c r="AC74" s="233">
        <v>28</v>
      </c>
      <c r="AD74" s="233">
        <v>29</v>
      </c>
      <c r="AE74" s="233">
        <v>30</v>
      </c>
    </row>
    <row r="75" spans="1:31" x14ac:dyDescent="0.2">
      <c r="A75" s="259" t="s">
        <v>569</v>
      </c>
      <c r="B75" s="253">
        <f t="shared" ref="B75:AE75" si="9">B68</f>
        <v>0</v>
      </c>
      <c r="C75" s="253">
        <f t="shared" si="9"/>
        <v>0</v>
      </c>
      <c r="D75" s="253">
        <f t="shared" si="9"/>
        <v>0</v>
      </c>
      <c r="E75" s="253">
        <f t="shared" si="9"/>
        <v>0</v>
      </c>
      <c r="F75" s="253">
        <f t="shared" si="9"/>
        <v>944615.46666666656</v>
      </c>
      <c r="G75" s="253">
        <f t="shared" si="9"/>
        <v>2344363.84</v>
      </c>
      <c r="H75" s="253">
        <f t="shared" si="9"/>
        <v>2312876.6577777779</v>
      </c>
      <c r="I75" s="253">
        <f t="shared" si="9"/>
        <v>2229864.9955555554</v>
      </c>
      <c r="J75" s="253">
        <f t="shared" si="9"/>
        <v>2249902.2933333335</v>
      </c>
      <c r="K75" s="253">
        <f t="shared" si="9"/>
        <v>2218415.1111111115</v>
      </c>
      <c r="L75" s="253">
        <f t="shared" si="9"/>
        <v>3732662.3288888889</v>
      </c>
      <c r="M75" s="253">
        <f t="shared" si="9"/>
        <v>2155440.7466666671</v>
      </c>
      <c r="N75" s="253">
        <f t="shared" si="9"/>
        <v>2627748.4799999995</v>
      </c>
      <c r="O75" s="253">
        <f t="shared" si="9"/>
        <v>1680246.8304565675</v>
      </c>
      <c r="P75" s="253">
        <f t="shared" si="9"/>
        <v>2060979.2000000002</v>
      </c>
      <c r="Q75" s="253">
        <f t="shared" si="9"/>
        <v>46214372.218737781</v>
      </c>
      <c r="R75" s="253">
        <f t="shared" si="9"/>
        <v>46182885.036515556</v>
      </c>
      <c r="S75" s="253">
        <f t="shared" si="9"/>
        <v>46151397.854293332</v>
      </c>
      <c r="T75" s="253">
        <f t="shared" si="9"/>
        <v>46119910.672071114</v>
      </c>
      <c r="U75" s="253">
        <f t="shared" si="9"/>
        <v>45676203.938083231</v>
      </c>
      <c r="V75" s="253">
        <f t="shared" si="9"/>
        <v>46056936.307626665</v>
      </c>
      <c r="W75" s="253">
        <f t="shared" si="9"/>
        <v>46025449.125404447</v>
      </c>
      <c r="X75" s="253">
        <f t="shared" si="9"/>
        <v>45993961.943182223</v>
      </c>
      <c r="Y75" s="253">
        <f t="shared" si="9"/>
        <v>45962474.760959998</v>
      </c>
      <c r="Z75" s="253">
        <f t="shared" si="9"/>
        <v>45930987.57873778</v>
      </c>
      <c r="AA75" s="253">
        <f t="shared" si="9"/>
        <v>45899500.396515556</v>
      </c>
      <c r="AB75" s="253">
        <f t="shared" si="9"/>
        <v>45868013.214293331</v>
      </c>
      <c r="AC75" s="253">
        <f t="shared" si="9"/>
        <v>45836526.032071114</v>
      </c>
      <c r="AD75" s="253">
        <f t="shared" si="9"/>
        <v>45805038.849848889</v>
      </c>
      <c r="AE75" s="253">
        <f t="shared" si="9"/>
        <v>45773551.667626664</v>
      </c>
    </row>
    <row r="76" spans="1:31" x14ac:dyDescent="0.2">
      <c r="A76" s="249" t="s">
        <v>255</v>
      </c>
      <c r="B76" s="254">
        <f t="shared" ref="B76:AE76" si="10">-B67</f>
        <v>0</v>
      </c>
      <c r="C76" s="254">
        <f t="shared" si="10"/>
        <v>0</v>
      </c>
      <c r="D76" s="254">
        <f t="shared" si="10"/>
        <v>0</v>
      </c>
      <c r="E76" s="254">
        <f t="shared" si="10"/>
        <v>0</v>
      </c>
      <c r="F76" s="254">
        <f t="shared" si="10"/>
        <v>0</v>
      </c>
      <c r="G76" s="254">
        <f t="shared" si="10"/>
        <v>-1431235.5555555555</v>
      </c>
      <c r="H76" s="254">
        <f t="shared" si="10"/>
        <v>-1431235.5555555555</v>
      </c>
      <c r="I76" s="254">
        <f t="shared" si="10"/>
        <v>-1431235.5555555555</v>
      </c>
      <c r="J76" s="254">
        <f t="shared" si="10"/>
        <v>-1431235.5555555555</v>
      </c>
      <c r="K76" s="254">
        <f t="shared" si="10"/>
        <v>-1431235.5555555555</v>
      </c>
      <c r="L76" s="254">
        <f t="shared" si="10"/>
        <v>-1431235.5555555555</v>
      </c>
      <c r="M76" s="254">
        <f t="shared" si="10"/>
        <v>-1431235.5555555555</v>
      </c>
      <c r="N76" s="254">
        <f t="shared" si="10"/>
        <v>-1431235.5555555555</v>
      </c>
      <c r="O76" s="254">
        <f t="shared" si="10"/>
        <v>-1431235.5555555555</v>
      </c>
      <c r="P76" s="254">
        <f t="shared" si="10"/>
        <v>-1431235.5555555555</v>
      </c>
      <c r="Q76" s="254">
        <f t="shared" si="10"/>
        <v>-1431235.5555555555</v>
      </c>
      <c r="R76" s="254">
        <f t="shared" si="10"/>
        <v>-1431235.5555555555</v>
      </c>
      <c r="S76" s="254">
        <f t="shared" si="10"/>
        <v>-1431235.5555555555</v>
      </c>
      <c r="T76" s="254">
        <f t="shared" si="10"/>
        <v>-1431235.5555555555</v>
      </c>
      <c r="U76" s="254">
        <f t="shared" si="10"/>
        <v>-1431235.5555555555</v>
      </c>
      <c r="V76" s="254">
        <f t="shared" si="10"/>
        <v>-1431235.5555555555</v>
      </c>
      <c r="W76" s="254">
        <f t="shared" si="10"/>
        <v>-1431235.5555555555</v>
      </c>
      <c r="X76" s="254">
        <f t="shared" si="10"/>
        <v>-1431235.5555555555</v>
      </c>
      <c r="Y76" s="254">
        <f t="shared" si="10"/>
        <v>-1431235.5555555555</v>
      </c>
      <c r="Z76" s="254">
        <f t="shared" si="10"/>
        <v>-1431235.5555555555</v>
      </c>
      <c r="AA76" s="254">
        <f t="shared" si="10"/>
        <v>-1431235.5555555555</v>
      </c>
      <c r="AB76" s="254">
        <f t="shared" si="10"/>
        <v>-1431235.5555555555</v>
      </c>
      <c r="AC76" s="254">
        <f t="shared" si="10"/>
        <v>-1431235.5555555555</v>
      </c>
      <c r="AD76" s="254">
        <f t="shared" si="10"/>
        <v>-1431235.5555555555</v>
      </c>
      <c r="AE76" s="254">
        <f t="shared" si="10"/>
        <v>-1431235.5555555555</v>
      </c>
    </row>
    <row r="77" spans="1:31" x14ac:dyDescent="0.2">
      <c r="A77" s="249" t="s">
        <v>254</v>
      </c>
      <c r="B77" s="254">
        <f t="shared" ref="B77:AE77" si="11">B69</f>
        <v>0</v>
      </c>
      <c r="C77" s="254">
        <f t="shared" si="11"/>
        <v>0</v>
      </c>
      <c r="D77" s="254">
        <f t="shared" si="11"/>
        <v>0</v>
      </c>
      <c r="E77" s="254">
        <f t="shared" si="11"/>
        <v>0</v>
      </c>
      <c r="F77" s="254">
        <f t="shared" si="11"/>
        <v>0</v>
      </c>
      <c r="G77" s="254">
        <f t="shared" si="11"/>
        <v>0</v>
      </c>
      <c r="H77" s="254">
        <f t="shared" si="11"/>
        <v>0</v>
      </c>
      <c r="I77" s="254">
        <f t="shared" si="11"/>
        <v>0</v>
      </c>
      <c r="J77" s="254">
        <f t="shared" si="11"/>
        <v>0</v>
      </c>
      <c r="K77" s="254">
        <f t="shared" si="11"/>
        <v>0</v>
      </c>
      <c r="L77" s="254">
        <f t="shared" si="11"/>
        <v>0</v>
      </c>
      <c r="M77" s="254">
        <f t="shared" si="11"/>
        <v>0</v>
      </c>
      <c r="N77" s="254">
        <f t="shared" si="11"/>
        <v>0</v>
      </c>
      <c r="O77" s="254">
        <f t="shared" si="11"/>
        <v>0</v>
      </c>
      <c r="P77" s="254">
        <f t="shared" si="11"/>
        <v>0</v>
      </c>
      <c r="Q77" s="254">
        <f t="shared" si="11"/>
        <v>0</v>
      </c>
      <c r="R77" s="254">
        <f t="shared" si="11"/>
        <v>0</v>
      </c>
      <c r="S77" s="254">
        <f t="shared" si="11"/>
        <v>0</v>
      </c>
      <c r="T77" s="254">
        <f t="shared" si="11"/>
        <v>0</v>
      </c>
      <c r="U77" s="254">
        <f t="shared" si="11"/>
        <v>0</v>
      </c>
      <c r="V77" s="254">
        <f t="shared" si="11"/>
        <v>0</v>
      </c>
      <c r="W77" s="254">
        <f t="shared" si="11"/>
        <v>0</v>
      </c>
      <c r="X77" s="254">
        <f t="shared" si="11"/>
        <v>0</v>
      </c>
      <c r="Y77" s="254">
        <f t="shared" si="11"/>
        <v>0</v>
      </c>
      <c r="Z77" s="254">
        <f t="shared" si="11"/>
        <v>0</v>
      </c>
      <c r="AA77" s="254">
        <f t="shared" si="11"/>
        <v>0</v>
      </c>
      <c r="AB77" s="254">
        <f t="shared" si="11"/>
        <v>0</v>
      </c>
      <c r="AC77" s="254">
        <f t="shared" si="11"/>
        <v>0</v>
      </c>
      <c r="AD77" s="254">
        <f t="shared" si="11"/>
        <v>0</v>
      </c>
      <c r="AE77" s="254">
        <f t="shared" si="11"/>
        <v>0</v>
      </c>
    </row>
    <row r="78" spans="1:31" x14ac:dyDescent="0.2">
      <c r="A78" s="249" t="s">
        <v>253</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-188923.09333333332</v>
      </c>
      <c r="G78" s="254">
        <f>IF(SUM($B$71:G71)+SUM($A$78:F78)&gt;0,0,SUM($B$71:G71)-SUM($A$78:F78))</f>
        <v>-468872.76799999998</v>
      </c>
      <c r="H78" s="254">
        <f>IF(SUM($B$71:H71)+SUM($A$78:G78)&gt;0,0,SUM($B$71:H71)-SUM($A$78:G78))</f>
        <v>-462575.33155555569</v>
      </c>
      <c r="I78" s="254">
        <f>IF(SUM($B$71:I71)+SUM($A$78:H78)&gt;0,0,SUM($B$71:I71)-SUM($A$78:H78))</f>
        <v>-445972.99911111104</v>
      </c>
      <c r="J78" s="254">
        <f>IF(SUM($B$71:J71)+SUM($A$78:I78)&gt;0,0,SUM($B$71:J71)-SUM($A$78:I78))</f>
        <v>-449980.45866666664</v>
      </c>
      <c r="K78" s="254">
        <f>IF(SUM($B$71:K71)+SUM($A$78:J78)&gt;0,0,SUM($B$71:K71)-SUM($A$78:J78))</f>
        <v>-443683.02222222229</v>
      </c>
      <c r="L78" s="254">
        <f>IF(SUM($B$71:L71)+SUM($A$78:K78)&gt;0,0,SUM($B$71:L71)-SUM($A$78:K78))</f>
        <v>-746532.46577777807</v>
      </c>
      <c r="M78" s="254">
        <f>IF(SUM($B$71:M71)+SUM($A$78:L78)&gt;0,0,SUM($B$71:M71)-SUM($A$78:L78))</f>
        <v>-431088.1493333336</v>
      </c>
      <c r="N78" s="254">
        <f>IF(SUM($B$71:N71)+SUM($A$78:M78)&gt;0,0,SUM($B$71:N71)-SUM($A$78:M78))</f>
        <v>-525549.696</v>
      </c>
      <c r="O78" s="254">
        <f>IF(SUM($B$71:O71)+SUM($A$78:N78)&gt;0,0,SUM($B$71:O71)-SUM($A$78:N78))</f>
        <v>-336049.36609131331</v>
      </c>
      <c r="P78" s="254">
        <f>IF(SUM($B$71:P71)+SUM($A$78:O78)&gt;0,0,SUM($B$71:P71)-SUM($A$78:O78))</f>
        <v>-412195.83999999985</v>
      </c>
      <c r="Q78" s="254">
        <f>IF(SUM($B$71:Q71)+SUM($A$78:P78)&gt;0,0,SUM($B$71:Q71)-SUM($A$78:P78))</f>
        <v>-9242874.4437475558</v>
      </c>
      <c r="R78" s="254">
        <f>IF(SUM($B$71:R71)+SUM($A$78:Q78)&gt;0,0,SUM($B$71:R71)-SUM($A$78:Q78))</f>
        <v>-9236577.0073031113</v>
      </c>
      <c r="S78" s="254">
        <f>IF(SUM($B$71:S71)+SUM($A$78:R78)&gt;0,0,SUM($B$71:S71)-SUM($A$78:R78))</f>
        <v>-9230279.5708586648</v>
      </c>
      <c r="T78" s="254">
        <f>IF(SUM($B$71:T71)+SUM($A$78:S78)&gt;0,0,SUM($B$71:T71)-SUM($A$78:S78))</f>
        <v>-9223982.1344142258</v>
      </c>
      <c r="U78" s="254">
        <f>IF(SUM($B$71:U71)+SUM($A$78:T78)&gt;0,0,SUM($B$71:U71)-SUM($A$78:T78))</f>
        <v>-9135240.7876166478</v>
      </c>
      <c r="V78" s="254">
        <f>IF(SUM($B$71:V71)+SUM($A$78:U78)&gt;0,0,SUM($B$71:V71)-SUM($A$78:U78))</f>
        <v>-9211387.2615253329</v>
      </c>
      <c r="W78" s="254">
        <f>IF(SUM($B$71:W71)+SUM($A$78:V78)&gt;0,0,SUM($B$71:W71)-SUM($A$78:V78))</f>
        <v>-9205089.8250808865</v>
      </c>
      <c r="X78" s="254">
        <f>IF(SUM($B$71:X71)+SUM($A$78:W78)&gt;0,0,SUM($B$71:X71)-SUM($A$78:W78))</f>
        <v>-9198792.38863644</v>
      </c>
      <c r="Y78" s="254">
        <f>IF(SUM($B$71:Y71)+SUM($A$78:X78)&gt;0,0,SUM($B$71:Y71)-SUM($A$78:X78))</f>
        <v>-9192494.9521919936</v>
      </c>
      <c r="Z78" s="254">
        <f>IF(SUM($B$71:Z71)+SUM($A$78:Y78)&gt;0,0,SUM($B$71:Z71)-SUM($A$78:Y78))</f>
        <v>-9186197.5157475621</v>
      </c>
      <c r="AA78" s="254">
        <f>IF(SUM($B$71:AA71)+SUM($A$78:Z78)&gt;0,0,SUM($B$71:AA71)-SUM($A$78:Z78))</f>
        <v>-9179900.0793031156</v>
      </c>
      <c r="AB78" s="254">
        <f>IF(SUM($B$71:AB71)+SUM($A$78:AA78)&gt;0,0,SUM($B$71:AB71)-SUM($A$78:AA78))</f>
        <v>-9173602.6428586692</v>
      </c>
      <c r="AC78" s="254">
        <f>IF(SUM($B$71:AC71)+SUM($A$78:AB78)&gt;0,0,SUM($B$71:AC71)-SUM($A$78:AB78))</f>
        <v>-9167305.2064142227</v>
      </c>
      <c r="AD78" s="254">
        <f>IF(SUM($B$71:AD71)+SUM($A$78:AC78)&gt;0,0,SUM($B$71:AD71)-SUM($A$78:AC78))</f>
        <v>-9161007.7699697763</v>
      </c>
      <c r="AE78" s="254">
        <f>IF(SUM($B$71:AE71)+SUM($A$78:AD78)&gt;0,0,SUM($B$71:AE71)-SUM($A$78:AD78))</f>
        <v>-9154710.3335253298</v>
      </c>
    </row>
    <row r="79" spans="1:31" x14ac:dyDescent="0.2">
      <c r="A79" s="249" t="s">
        <v>252</v>
      </c>
      <c r="B79" s="254">
        <f>IF(((SUM($B$58:B58)+SUM($B$60:B64))+SUM($B$81:B81))&lt;0,((SUM($B$58:B58)+SUM($B$60:B64))+SUM($B$81:B81))*0.2-SUM($A$79:A79),IF(SUM(A$79:$A79)&lt;0,0-SUM(A$79:$A79),0))</f>
        <v>-800000</v>
      </c>
      <c r="C79" s="254">
        <f>IF(((SUM($B$58:C58)+SUM($B$60:C64))+SUM($B$81:C81))&lt;0,((SUM($B$58:C58)+SUM($B$60:C64))+SUM($B$81:C81))*0.2-SUM($A$79:B79),IF(SUM($A$79:B79)&lt;0,0-SUM($A$79:B79),0))</f>
        <v>-800000</v>
      </c>
      <c r="D79" s="254">
        <f>IF(((SUM($B$58:D58)+SUM($B$60:D64))+SUM($B$81:D81))&lt;0,((SUM($B$58:D58)+SUM($B$60:D64))+SUM($B$81:D81))*0.2-SUM($A$79:C79),IF(SUM($A$79:C79)&lt;0,0-SUM($A$79:C79),0))</f>
        <v>-800000</v>
      </c>
      <c r="E79" s="254">
        <f>IF(((SUM($B$58:E58)+SUM($B$60:E64))+SUM($B$81:E81))&lt;0,((SUM($B$58:E58)+SUM($B$60:E64))+SUM($B$81:E81))*0.2-SUM($A$79:D79),IF(SUM($A$79:D79)&lt;0,0-SUM($A$79:D79),0))</f>
        <v>-800000</v>
      </c>
      <c r="F79" s="254">
        <f>IF(((SUM($B$58:F58)+SUM($B$60:F64))+SUM($B$81:F81))&lt;0,((SUM($B$58:F58)+SUM($B$60:F64))+SUM($B$81:F81))*0.2-SUM($A$79:E79),IF(SUM($A$79:E79)&lt;0,0-SUM($A$79:E79),0))</f>
        <v>-800000</v>
      </c>
      <c r="G79" s="254">
        <f>IF(((SUM($B$58:G58)+SUM($B$60:G64))+SUM($B$81:G81))&lt;0,((SUM($B$58:G58)+SUM($B$60:G64))+SUM($B$81:G81))*0.2-SUM($A$79:F79),IF(SUM($A$79:F79)&lt;0,0-SUM($A$79:F79),0))</f>
        <v>0</v>
      </c>
      <c r="H79" s="254">
        <f>IF(((SUM($B$58:H58)+SUM($B$60:H64))+SUM($B$81:H81))&lt;0,((SUM($B$58:H58)+SUM($B$60:H64))+SUM($B$81:H81))*0.2-SUM($A$79:G79),IF(SUM($A$79:G79)&lt;0,0-SUM($A$79:G79),0))</f>
        <v>0</v>
      </c>
      <c r="I79" s="254">
        <f>IF(((SUM($B$58:I58)+SUM($B$60:I64))+SUM($B$81:I81))&lt;0,((SUM($B$58:I58)+SUM($B$60:I64))+SUM($B$81:I81))*0.2-SUM($A$79:H79),IF(SUM($A$79:H79)&lt;0,0-SUM($A$79:H79),0))</f>
        <v>-10304.896000000183</v>
      </c>
      <c r="J79" s="254">
        <f>IF(((SUM($B$58:J58)+SUM($B$60:J64))+SUM($B$81:J81))&lt;0,((SUM($B$58:J58)+SUM($B$60:J64))+SUM($B$81:J81))*0.2-SUM($A$79:I79),IF(SUM($A$79:I79)&lt;0,0-SUM($A$79:I79),0))</f>
        <v>0</v>
      </c>
      <c r="K79" s="254">
        <f>IF(((SUM($B$58:K58)+SUM($B$60:K64))+SUM($B$81:K81))&lt;0,((SUM($B$58:K58)+SUM($B$60:K64))+SUM($B$81:K81))*0.2-SUM($A$79:J79),IF(SUM($A$79:J79)&lt;0,0-SUM($A$79:J79),0))</f>
        <v>0</v>
      </c>
      <c r="L79" s="254">
        <f>IF(((SUM($B$58:L58)+SUM($B$60:L64))+SUM($B$81:L81))&lt;0,((SUM($B$58:L58)+SUM($B$60:L64))+SUM($B$81:L81))*0.2-SUM($A$79:K79),IF(SUM($A$79:K79)&lt;0,0-SUM($A$79:K79),0))</f>
        <v>309146.87999999942</v>
      </c>
      <c r="M79" s="254">
        <f>IF(((SUM($B$58:M58)+SUM($B$60:M64))+SUM($B$81:M81))&lt;0,((SUM($B$58:M58)+SUM($B$60:M64))+SUM($B$81:M81))*0.2-SUM($A$79:L79),IF(SUM($A$79:L79)&lt;0,0-SUM($A$79:L79),0))</f>
        <v>0</v>
      </c>
      <c r="N79" s="254">
        <f>IF(((SUM($B$58:N58)+SUM($B$60:N64))+SUM($B$81:N81))&lt;0,((SUM($B$58:N58)+SUM($B$60:N64))+SUM($B$81:N81))*0.2-SUM($A$79:M79),IF(SUM($A$79:M79)&lt;0,0-SUM($A$79:M79),0))</f>
        <v>0</v>
      </c>
      <c r="O79" s="254">
        <f>IF(((SUM($B$58:O58)+SUM($B$60:O64))+SUM($B$81:O81))&lt;0,((SUM($B$58:O58)+SUM($B$60:O64))+SUM($B$81:O81))*0.2-SUM($A$79:N79),IF(SUM($A$79:N79)&lt;0,0-SUM($A$79:N79),0))</f>
        <v>-82443.910353130661</v>
      </c>
      <c r="P79" s="254">
        <f>IF(((SUM($B$58:P58)+SUM($B$60:P64))+SUM($B$81:P81))&lt;0,((SUM($B$58:P58)+SUM($B$60:P64))+SUM($B$81:P81))*0.2-SUM($A$79:O79),IF(SUM($A$79:O79)&lt;0,0-SUM($A$79:O79),0))</f>
        <v>0</v>
      </c>
      <c r="Q79" s="254">
        <f>IF(((SUM($B$58:Q58)+SUM($B$60:Q64))+SUM($B$81:Q81))&lt;0,((SUM($B$58:Q58)+SUM($B$60:Q64))+SUM($B$81:Q81))*0.2-SUM($A$79:P79),IF(SUM($A$79:P79)&lt;0,0-SUM($A$79:P79),0))</f>
        <v>3783601.9263531314</v>
      </c>
      <c r="R79" s="254">
        <f>IF(((SUM($B$58:R58)+SUM($B$60:R64))+SUM($B$81:R81))&lt;0,((SUM($B$58:R58)+SUM($B$60:R64))+SUM($B$81:R81))*0.2-SUM($A$79:Q79),IF(SUM($A$79:Q79)&lt;0,0-SUM($A$79:Q79),0))</f>
        <v>0</v>
      </c>
      <c r="S79" s="254">
        <f>IF(((SUM($B$58:S58)+SUM($B$60:S64))+SUM($B$81:S81))&lt;0,((SUM($B$58:S58)+SUM($B$60:S64))+SUM($B$81:S81))*0.2-SUM($A$79:R79),IF(SUM($A$79:R79)&lt;0,0-SUM($A$79:R79),0))</f>
        <v>0</v>
      </c>
      <c r="T79" s="254">
        <f>IF(((SUM($B$58:T58)+SUM($B$60:T64))+SUM($B$81:T81))&lt;0,((SUM($B$58:T58)+SUM($B$60:T64))+SUM($B$81:T81))*0.2-SUM($A$79:S79),IF(SUM($A$79:S79)&lt;0,0-SUM($A$79:S79),0))</f>
        <v>0</v>
      </c>
      <c r="U79" s="254">
        <f>IF(((SUM($B$58:U58)+SUM($B$60:U64))+SUM($B$81:U81))&lt;0,((SUM($B$58:U58)+SUM($B$60:U64))+SUM($B$81:U81))*0.2-SUM($A$79:T79),IF(SUM($A$79:T79)&lt;0,0-SUM($A$79:T79),0))</f>
        <v>0</v>
      </c>
      <c r="V79" s="254">
        <f>IF(((SUM($B$58:V58)+SUM($B$60:V64))+SUM($B$81:V81))&lt;0,((SUM($B$58:V58)+SUM($B$60:V64))+SUM($B$81:V81))*0.2-SUM($A$79:U79),IF(SUM($A$79:U79)&lt;0,0-SUM($A$79:U79),0))</f>
        <v>0</v>
      </c>
      <c r="W79" s="254">
        <f>IF(((SUM($B$58:W58)+SUM($B$60:W64))+SUM($B$81:W81))&lt;0,((SUM($B$58:W58)+SUM($B$60:W64))+SUM($B$81:W81))*0.2-SUM($A$79:V79),IF(SUM($A$79:V79)&lt;0,0-SUM($A$79:V79),0))</f>
        <v>0</v>
      </c>
      <c r="X79" s="254">
        <f>IF(((SUM($B$58:X58)+SUM($B$60:X64))+SUM($B$81:X81))&lt;0,((SUM($B$58:X58)+SUM($B$60:X64))+SUM($B$81:X81))*0.2-SUM($A$79:W79),IF(SUM($A$79:W79)&lt;0,0-SUM($A$79:W79),0))</f>
        <v>0</v>
      </c>
      <c r="Y79" s="254">
        <f>IF(((SUM($B$58:Y58)+SUM($B$60:Y64))+SUM($B$81:Y81))&lt;0,((SUM($B$58:Y58)+SUM($B$60:Y64))+SUM($B$81:Y81))*0.2-SUM($A$79:X79),IF(SUM($A$79:X79)&lt;0,0-SUM($A$79:X79),0))</f>
        <v>0</v>
      </c>
      <c r="Z79" s="254">
        <f>IF(((SUM($B$58:Z58)+SUM($B$60:Z64))+SUM($B$81:Z81))&lt;0,((SUM($B$58:Z58)+SUM($B$60:Z64))+SUM($B$81:Z81))*0.2-SUM($A$79:Y79),IF(SUM($A$79:Y79)&lt;0,0-SUM($A$79:Y79),0))</f>
        <v>0</v>
      </c>
      <c r="AA79" s="254">
        <f>IF(((SUM($B$58:AA58)+SUM($B$60:AA64))+SUM($B$81:AA81))&lt;0,((SUM($B$58:AA58)+SUM($B$60:AA64))+SUM($B$81:AA81))*0.2-SUM($A$79:Z79),IF(SUM($A$79:Z79)&lt;0,0-SUM($A$79:Z79),0))</f>
        <v>0</v>
      </c>
      <c r="AB79" s="254">
        <f>IF(((SUM($B$58:AB58)+SUM($B$60:AB64))+SUM($B$81:AB81))&lt;0,((SUM($B$58:AB58)+SUM($B$60:AB64))+SUM($B$81:AB81))*0.2-SUM($A$79:AA79),IF(SUM($A$79:AA79)&lt;0,0-SUM($A$79:AA79),0))</f>
        <v>0</v>
      </c>
      <c r="AC79" s="254">
        <f>IF(((SUM($B$58:AC58)+SUM($B$60:AC64))+SUM($B$81:AC81))&lt;0,((SUM($B$58:AC58)+SUM($B$60:AC64))+SUM($B$81:AC81))*0.2-SUM($A$79:AB79),IF(SUM($A$79:AB79)&lt;0,0-SUM($A$79:AB79),0))</f>
        <v>0</v>
      </c>
      <c r="AD79" s="254">
        <f>IF(((SUM($B$58:AD58)+SUM($B$60:AD64))+SUM($B$81:AD81))&lt;0,((SUM($B$58:AD58)+SUM($B$60:AD64))+SUM($B$81:AD81))*0.2-SUM($A$79:AC79),IF(SUM($A$79:AC79)&lt;0,0-SUM($A$79:AC79),0))</f>
        <v>0</v>
      </c>
      <c r="AE79" s="254">
        <f>IF(((SUM($B$58:AE58)+SUM($B$60:AE64))+SUM($B$81:AE81))&lt;0,((SUM($B$58:AE58)+SUM($B$60:AE64))+SUM($B$81:AE81))*0.2-SUM($A$79:AD79),IF(SUM($A$79:AD79)&lt;0,0-SUM($A$79:AD79),0))</f>
        <v>0</v>
      </c>
    </row>
    <row r="80" spans="1:31" x14ac:dyDescent="0.2">
      <c r="A80" s="249" t="s">
        <v>251</v>
      </c>
      <c r="B80" s="254">
        <f>-B58*($B$38)</f>
        <v>0</v>
      </c>
      <c r="C80" s="254">
        <f t="shared" ref="C80:AE80" si="12">-C58*($B$38)</f>
        <v>0</v>
      </c>
      <c r="D80" s="254">
        <f t="shared" si="12"/>
        <v>0</v>
      </c>
      <c r="E80" s="254">
        <f t="shared" si="12"/>
        <v>0</v>
      </c>
      <c r="F80" s="254">
        <f t="shared" si="12"/>
        <v>0</v>
      </c>
      <c r="G80" s="254">
        <f t="shared" si="12"/>
        <v>0</v>
      </c>
      <c r="H80" s="254">
        <f t="shared" si="12"/>
        <v>0</v>
      </c>
      <c r="I80" s="254">
        <f t="shared" si="12"/>
        <v>0</v>
      </c>
      <c r="J80" s="254">
        <f t="shared" si="12"/>
        <v>0</v>
      </c>
      <c r="K80" s="254">
        <f t="shared" si="12"/>
        <v>0</v>
      </c>
      <c r="L80" s="254">
        <f t="shared" si="12"/>
        <v>0</v>
      </c>
      <c r="M80" s="254">
        <f t="shared" si="12"/>
        <v>0</v>
      </c>
      <c r="N80" s="254">
        <f t="shared" si="12"/>
        <v>0</v>
      </c>
      <c r="O80" s="254">
        <f t="shared" si="12"/>
        <v>0</v>
      </c>
      <c r="P80" s="254">
        <f t="shared" si="12"/>
        <v>0</v>
      </c>
      <c r="Q80" s="254">
        <f t="shared" si="12"/>
        <v>0</v>
      </c>
      <c r="R80" s="254">
        <f t="shared" si="12"/>
        <v>0</v>
      </c>
      <c r="S80" s="254">
        <f t="shared" si="12"/>
        <v>0</v>
      </c>
      <c r="T80" s="254">
        <f t="shared" si="12"/>
        <v>0</v>
      </c>
      <c r="U80" s="254">
        <f t="shared" si="12"/>
        <v>0</v>
      </c>
      <c r="V80" s="254">
        <f t="shared" si="12"/>
        <v>0</v>
      </c>
      <c r="W80" s="254">
        <f t="shared" si="12"/>
        <v>0</v>
      </c>
      <c r="X80" s="254">
        <f t="shared" si="12"/>
        <v>0</v>
      </c>
      <c r="Y80" s="254">
        <f t="shared" si="12"/>
        <v>0</v>
      </c>
      <c r="Z80" s="254">
        <f t="shared" si="12"/>
        <v>0</v>
      </c>
      <c r="AA80" s="254">
        <f t="shared" si="12"/>
        <v>0</v>
      </c>
      <c r="AB80" s="254">
        <f t="shared" si="12"/>
        <v>0</v>
      </c>
      <c r="AC80" s="254">
        <f t="shared" si="12"/>
        <v>0</v>
      </c>
      <c r="AD80" s="254">
        <f t="shared" si="12"/>
        <v>0</v>
      </c>
      <c r="AE80" s="254">
        <f t="shared" si="12"/>
        <v>0</v>
      </c>
    </row>
    <row r="81" spans="1:31" x14ac:dyDescent="0.2">
      <c r="A81" s="249" t="s">
        <v>434</v>
      </c>
      <c r="B81" s="260">
        <f>'6.2. Паспорт фин осв ввод'!H24*-1000000</f>
        <v>-4000000</v>
      </c>
      <c r="C81" s="260">
        <f>'6.2. Паспорт фин осв ввод'!L24*-1000000</f>
        <v>-4000000</v>
      </c>
      <c r="D81" s="251">
        <f>'6.2. Паспорт фин осв ввод'!P24*-1000000</f>
        <v>-4000000</v>
      </c>
      <c r="E81" s="251">
        <f>'6.2. Паспорт фин осв ввод'!P24*-1000000</f>
        <v>-4000000</v>
      </c>
      <c r="F81" s="251">
        <f>'6.2. Паспорт фин осв ввод'!X24*-1000000</f>
        <v>-4000000</v>
      </c>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row>
    <row r="82" spans="1:31" x14ac:dyDescent="0.2">
      <c r="A82" s="249" t="s">
        <v>250</v>
      </c>
      <c r="B82" s="251">
        <v>0</v>
      </c>
      <c r="C82" s="251">
        <v>0</v>
      </c>
      <c r="D82" s="251">
        <v>0</v>
      </c>
      <c r="E82" s="251">
        <v>0</v>
      </c>
      <c r="F82" s="251">
        <v>0</v>
      </c>
      <c r="G82" s="251">
        <v>0</v>
      </c>
      <c r="H82" s="251">
        <v>0</v>
      </c>
      <c r="I82" s="251">
        <v>0</v>
      </c>
      <c r="J82" s="251">
        <v>0</v>
      </c>
      <c r="K82" s="251">
        <v>0</v>
      </c>
      <c r="L82" s="251">
        <v>0</v>
      </c>
      <c r="M82" s="251">
        <v>0</v>
      </c>
      <c r="N82" s="251">
        <v>0</v>
      </c>
      <c r="O82" s="251">
        <v>0</v>
      </c>
      <c r="P82" s="251">
        <v>0</v>
      </c>
      <c r="Q82" s="251">
        <v>0</v>
      </c>
      <c r="R82" s="251">
        <v>0</v>
      </c>
      <c r="S82" s="251">
        <v>0</v>
      </c>
      <c r="T82" s="251">
        <v>0</v>
      </c>
      <c r="U82" s="251">
        <v>0</v>
      </c>
      <c r="V82" s="251">
        <v>0</v>
      </c>
      <c r="W82" s="251">
        <v>0</v>
      </c>
      <c r="X82" s="251">
        <v>0</v>
      </c>
      <c r="Y82" s="251">
        <v>0</v>
      </c>
      <c r="Z82" s="251">
        <v>0</v>
      </c>
      <c r="AA82" s="251">
        <v>0</v>
      </c>
      <c r="AB82" s="251">
        <v>0</v>
      </c>
      <c r="AC82" s="251">
        <v>0</v>
      </c>
      <c r="AD82" s="251">
        <v>0</v>
      </c>
      <c r="AE82" s="251">
        <v>0</v>
      </c>
    </row>
    <row r="83" spans="1:31" x14ac:dyDescent="0.2">
      <c r="A83" s="252" t="s">
        <v>249</v>
      </c>
      <c r="B83" s="253">
        <f t="shared" ref="B83:AE83" si="13">SUM(B75:B82)</f>
        <v>-4800000</v>
      </c>
      <c r="C83" s="253">
        <f t="shared" si="13"/>
        <v>-4800000</v>
      </c>
      <c r="D83" s="253">
        <f t="shared" si="13"/>
        <v>-4800000</v>
      </c>
      <c r="E83" s="253">
        <f t="shared" si="13"/>
        <v>-4800000</v>
      </c>
      <c r="F83" s="253">
        <f t="shared" si="13"/>
        <v>-4044307.6266666669</v>
      </c>
      <c r="G83" s="253">
        <f t="shared" si="13"/>
        <v>444255.51644444437</v>
      </c>
      <c r="H83" s="253">
        <f t="shared" si="13"/>
        <v>419065.77066666668</v>
      </c>
      <c r="I83" s="253">
        <f t="shared" si="13"/>
        <v>342351.54488888872</v>
      </c>
      <c r="J83" s="253">
        <f t="shared" si="13"/>
        <v>368686.2791111113</v>
      </c>
      <c r="K83" s="253">
        <f t="shared" si="13"/>
        <v>343496.53333333367</v>
      </c>
      <c r="L83" s="253">
        <f t="shared" si="13"/>
        <v>1864041.1875555548</v>
      </c>
      <c r="M83" s="253">
        <f t="shared" si="13"/>
        <v>293117.04177777795</v>
      </c>
      <c r="N83" s="253">
        <f t="shared" si="13"/>
        <v>670963.22844444402</v>
      </c>
      <c r="O83" s="253">
        <f t="shared" si="13"/>
        <v>-169482.00154343201</v>
      </c>
      <c r="P83" s="253">
        <f t="shared" si="13"/>
        <v>217547.80444444483</v>
      </c>
      <c r="Q83" s="253">
        <f t="shared" si="13"/>
        <v>39323864.145787805</v>
      </c>
      <c r="R83" s="253">
        <f t="shared" si="13"/>
        <v>35515072.473656893</v>
      </c>
      <c r="S83" s="253">
        <f t="shared" si="13"/>
        <v>35489882.727879114</v>
      </c>
      <c r="T83" s="253">
        <f t="shared" si="13"/>
        <v>35464692.982101336</v>
      </c>
      <c r="U83" s="253">
        <f t="shared" si="13"/>
        <v>35109727.594911031</v>
      </c>
      <c r="V83" s="253">
        <f t="shared" si="13"/>
        <v>35414313.490545779</v>
      </c>
      <c r="W83" s="253">
        <f t="shared" si="13"/>
        <v>35389123.744768009</v>
      </c>
      <c r="X83" s="253">
        <f t="shared" si="13"/>
        <v>35363933.99899023</v>
      </c>
      <c r="Y83" s="253">
        <f t="shared" si="13"/>
        <v>35338744.253212452</v>
      </c>
      <c r="Z83" s="253">
        <f t="shared" si="13"/>
        <v>35313554.507434666</v>
      </c>
      <c r="AA83" s="253">
        <f t="shared" si="13"/>
        <v>35288364.761656888</v>
      </c>
      <c r="AB83" s="253">
        <f t="shared" si="13"/>
        <v>35263175.01587911</v>
      </c>
      <c r="AC83" s="253">
        <f t="shared" si="13"/>
        <v>35237985.270101339</v>
      </c>
      <c r="AD83" s="253">
        <f t="shared" si="13"/>
        <v>35212795.52432356</v>
      </c>
      <c r="AE83" s="253">
        <f t="shared" si="13"/>
        <v>35187605.778545782</v>
      </c>
    </row>
    <row r="84" spans="1:31" x14ac:dyDescent="0.2">
      <c r="A84" s="252" t="s">
        <v>570</v>
      </c>
      <c r="B84" s="253">
        <f>SUM($B$83:B83)</f>
        <v>-4800000</v>
      </c>
      <c r="C84" s="253">
        <f>SUM($B$83:C83)</f>
        <v>-9600000</v>
      </c>
      <c r="D84" s="253">
        <f>SUM($B$83:D83)</f>
        <v>-14400000</v>
      </c>
      <c r="E84" s="253">
        <f>SUM($B$83:E83)</f>
        <v>-19200000</v>
      </c>
      <c r="F84" s="253">
        <f>SUM($B$83:F83)</f>
        <v>-23244307.626666665</v>
      </c>
      <c r="G84" s="253">
        <f>SUM($B$83:G83)</f>
        <v>-22800052.11022222</v>
      </c>
      <c r="H84" s="253">
        <f>SUM($B$83:H83)</f>
        <v>-22380986.339555554</v>
      </c>
      <c r="I84" s="253">
        <f>SUM($B$83:I83)</f>
        <v>-22038634.794666667</v>
      </c>
      <c r="J84" s="253">
        <f>SUM($B$83:J83)</f>
        <v>-21669948.515555557</v>
      </c>
      <c r="K84" s="253">
        <f>SUM($B$83:K83)</f>
        <v>-21326451.982222222</v>
      </c>
      <c r="L84" s="253">
        <f>SUM($B$83:L83)</f>
        <v>-19462410.794666667</v>
      </c>
      <c r="M84" s="253">
        <f>SUM($B$83:M83)</f>
        <v>-19169293.752888888</v>
      </c>
      <c r="N84" s="253">
        <f>SUM($B$83:N83)</f>
        <v>-18498330.524444446</v>
      </c>
      <c r="O84" s="253">
        <f>SUM($B$83:O83)</f>
        <v>-18667812.525987878</v>
      </c>
      <c r="P84" s="253">
        <f>SUM($B$83:P83)</f>
        <v>-18450264.721543435</v>
      </c>
      <c r="Q84" s="253">
        <f>SUM($B$83:Q83)</f>
        <v>20873599.42424437</v>
      </c>
      <c r="R84" s="253">
        <f>SUM($B$83:R83)</f>
        <v>56388671.897901267</v>
      </c>
      <c r="S84" s="253">
        <f>SUM($B$83:S83)</f>
        <v>91878554.625780374</v>
      </c>
      <c r="T84" s="253">
        <f>SUM($B$83:T83)</f>
        <v>127343247.60788171</v>
      </c>
      <c r="U84" s="253">
        <f>SUM($B$83:U83)</f>
        <v>162452975.20279273</v>
      </c>
      <c r="V84" s="253">
        <f>SUM($B$83:V83)</f>
        <v>197867288.69333851</v>
      </c>
      <c r="W84" s="253">
        <f>SUM($B$83:W83)</f>
        <v>233256412.43810654</v>
      </c>
      <c r="X84" s="253">
        <f>SUM($B$83:X83)</f>
        <v>268620346.43709677</v>
      </c>
      <c r="Y84" s="253">
        <f>SUM($B$83:Y83)</f>
        <v>303959090.69030923</v>
      </c>
      <c r="Z84" s="253">
        <f>SUM($B$83:Z83)</f>
        <v>339272645.19774389</v>
      </c>
      <c r="AA84" s="253">
        <f>SUM($B$83:AA83)</f>
        <v>374561009.95940077</v>
      </c>
      <c r="AB84" s="253">
        <f>SUM($B$83:AB83)</f>
        <v>409824184.97527987</v>
      </c>
      <c r="AC84" s="253">
        <f>SUM($B$83:AC83)</f>
        <v>445062170.24538124</v>
      </c>
      <c r="AD84" s="253">
        <f>SUM($B$83:AD83)</f>
        <v>480274965.76970482</v>
      </c>
      <c r="AE84" s="253">
        <f>SUM($B$83:AE83)</f>
        <v>515462571.54825062</v>
      </c>
    </row>
    <row r="85" spans="1:31" x14ac:dyDescent="0.2">
      <c r="A85" s="261" t="s">
        <v>435</v>
      </c>
      <c r="B85" s="262">
        <f t="shared" ref="B85:AE85" si="14">1/POWER((1+$B$43),B73)</f>
        <v>0.9128709291752769</v>
      </c>
      <c r="C85" s="262">
        <f t="shared" si="14"/>
        <v>0.7607257743127307</v>
      </c>
      <c r="D85" s="262">
        <f t="shared" si="14"/>
        <v>0.63393814526060899</v>
      </c>
      <c r="E85" s="262">
        <f t="shared" si="14"/>
        <v>0.52828178771717416</v>
      </c>
      <c r="F85" s="262">
        <f t="shared" si="14"/>
        <v>0.44023482309764517</v>
      </c>
      <c r="G85" s="262">
        <f t="shared" si="14"/>
        <v>0.36686235258137107</v>
      </c>
      <c r="H85" s="262">
        <f t="shared" si="14"/>
        <v>0.30571862715114251</v>
      </c>
      <c r="I85" s="262">
        <f t="shared" si="14"/>
        <v>0.25476552262595203</v>
      </c>
      <c r="J85" s="262">
        <f t="shared" si="14"/>
        <v>0.21230460218829345</v>
      </c>
      <c r="K85" s="262">
        <f t="shared" si="14"/>
        <v>0.17692050182357785</v>
      </c>
      <c r="L85" s="262">
        <f t="shared" si="14"/>
        <v>0.14743375151964822</v>
      </c>
      <c r="M85" s="262">
        <f t="shared" si="14"/>
        <v>0.12286145959970685</v>
      </c>
      <c r="N85" s="262">
        <f t="shared" si="14"/>
        <v>0.10238454966642239</v>
      </c>
      <c r="O85" s="262">
        <f t="shared" si="14"/>
        <v>8.5320458055351975E-2</v>
      </c>
      <c r="P85" s="262">
        <f t="shared" si="14"/>
        <v>7.1100381712793329E-2</v>
      </c>
      <c r="Q85" s="262">
        <f t="shared" si="14"/>
        <v>5.9250318093994447E-2</v>
      </c>
      <c r="R85" s="262">
        <f t="shared" si="14"/>
        <v>4.9375265078328692E-2</v>
      </c>
      <c r="S85" s="262">
        <f t="shared" si="14"/>
        <v>4.1146054231940586E-2</v>
      </c>
      <c r="T85" s="262">
        <f t="shared" si="14"/>
        <v>3.4288378526617161E-2</v>
      </c>
      <c r="U85" s="262">
        <f t="shared" si="14"/>
        <v>2.8573648772180955E-2</v>
      </c>
      <c r="V85" s="262">
        <f t="shared" si="14"/>
        <v>2.3811373976817471E-2</v>
      </c>
      <c r="W85" s="262">
        <f t="shared" si="14"/>
        <v>1.9842811647347896E-2</v>
      </c>
      <c r="X85" s="262">
        <f t="shared" si="14"/>
        <v>1.6535676372789913E-2</v>
      </c>
      <c r="Y85" s="262">
        <f t="shared" si="14"/>
        <v>1.377973031065826E-2</v>
      </c>
      <c r="Z85" s="262">
        <f t="shared" si="14"/>
        <v>1.1483108592215211E-2</v>
      </c>
      <c r="AA85" s="262">
        <f t="shared" si="14"/>
        <v>9.5692571601793501E-3</v>
      </c>
      <c r="AB85" s="262">
        <f t="shared" si="14"/>
        <v>7.9743809668161216E-3</v>
      </c>
      <c r="AC85" s="262">
        <f t="shared" si="14"/>
        <v>6.6453174723467663E-3</v>
      </c>
      <c r="AD85" s="262">
        <f t="shared" si="14"/>
        <v>5.5377645602889755E-3</v>
      </c>
      <c r="AE85" s="262">
        <f t="shared" si="14"/>
        <v>4.6148038002408118E-3</v>
      </c>
    </row>
    <row r="86" spans="1:31" x14ac:dyDescent="0.2">
      <c r="A86" s="259" t="s">
        <v>571</v>
      </c>
      <c r="B86" s="253">
        <f t="shared" ref="B86:AE86" si="15">B83*B85</f>
        <v>-4381780.4600413293</v>
      </c>
      <c r="C86" s="253">
        <f t="shared" si="15"/>
        <v>-3651483.7167011076</v>
      </c>
      <c r="D86" s="253">
        <f t="shared" si="15"/>
        <v>-3042903.097250923</v>
      </c>
      <c r="E86" s="253">
        <f t="shared" si="15"/>
        <v>-2535752.581042436</v>
      </c>
      <c r="F86" s="253">
        <f t="shared" si="15"/>
        <v>-1780445.0525780574</v>
      </c>
      <c r="G86" s="253">
        <f t="shared" si="15"/>
        <v>162980.62391006085</v>
      </c>
      <c r="H86" s="253">
        <f t="shared" si="15"/>
        <v>128116.21209424887</v>
      </c>
      <c r="I86" s="253">
        <f t="shared" si="15"/>
        <v>87219.37025541981</v>
      </c>
      <c r="J86" s="253">
        <f t="shared" si="15"/>
        <v>78273.793818966602</v>
      </c>
      <c r="K86" s="253">
        <f t="shared" si="15"/>
        <v>60771.579051992732</v>
      </c>
      <c r="L86" s="253">
        <f t="shared" si="15"/>
        <v>274822.58526845562</v>
      </c>
      <c r="M86" s="253">
        <f t="shared" si="15"/>
        <v>36012.787586366052</v>
      </c>
      <c r="N86" s="253">
        <f t="shared" si="15"/>
        <v>68696.2679870133</v>
      </c>
      <c r="O86" s="253">
        <f t="shared" si="15"/>
        <v>-14460.28200382349</v>
      </c>
      <c r="P86" s="253">
        <f t="shared" si="15"/>
        <v>15467.731936780145</v>
      </c>
      <c r="Q86" s="253">
        <f t="shared" si="15"/>
        <v>2329951.4593229508</v>
      </c>
      <c r="R86" s="253">
        <f t="shared" si="15"/>
        <v>1753566.1176628638</v>
      </c>
      <c r="S86" s="253">
        <f t="shared" si="15"/>
        <v>1460268.6394065255</v>
      </c>
      <c r="T86" s="253">
        <f t="shared" si="15"/>
        <v>1216026.8173005537</v>
      </c>
      <c r="U86" s="253">
        <f t="shared" si="15"/>
        <v>1003213.0247839374</v>
      </c>
      <c r="V86" s="253">
        <f t="shared" si="15"/>
        <v>843263.46265563765</v>
      </c>
      <c r="W86" s="253">
        <f t="shared" si="15"/>
        <v>702219.71683211857</v>
      </c>
      <c r="X86" s="253">
        <f t="shared" si="15"/>
        <v>584766.56787600461</v>
      </c>
      <c r="Y86" s="253">
        <f t="shared" si="15"/>
        <v>486958.365326592</v>
      </c>
      <c r="Z86" s="253">
        <f t="shared" si="15"/>
        <v>405509.38118598325</v>
      </c>
      <c r="AA86" s="253">
        <f t="shared" si="15"/>
        <v>337683.43716650584</v>
      </c>
      <c r="AB86" s="253">
        <f t="shared" si="15"/>
        <v>281201.99167613214</v>
      </c>
      <c r="AC86" s="253">
        <f t="shared" si="15"/>
        <v>234167.5992057024</v>
      </c>
      <c r="AD86" s="253">
        <f t="shared" si="15"/>
        <v>195000.17112330126</v>
      </c>
      <c r="AE86" s="253">
        <f t="shared" si="15"/>
        <v>162383.89686820863</v>
      </c>
    </row>
    <row r="87" spans="1:31" x14ac:dyDescent="0.2">
      <c r="A87" s="259" t="s">
        <v>572</v>
      </c>
      <c r="B87" s="253">
        <f>SUM($B$86:B86)</f>
        <v>-4381780.4600413293</v>
      </c>
      <c r="C87" s="253">
        <f>SUM($B$86:C86)</f>
        <v>-8033264.1767424364</v>
      </c>
      <c r="D87" s="253">
        <f>SUM($B$86:D86)</f>
        <v>-11076167.27399336</v>
      </c>
      <c r="E87" s="253">
        <f>SUM($B$86:E86)</f>
        <v>-13611919.855035797</v>
      </c>
      <c r="F87" s="253">
        <f>SUM($B$86:F86)</f>
        <v>-15392364.907613855</v>
      </c>
      <c r="G87" s="253">
        <f>SUM($B$86:G86)</f>
        <v>-15229384.283703795</v>
      </c>
      <c r="H87" s="253">
        <f>SUM($B$86:H86)</f>
        <v>-15101268.071609545</v>
      </c>
      <c r="I87" s="253">
        <f>SUM($B$86:I86)</f>
        <v>-15014048.701354126</v>
      </c>
      <c r="J87" s="253">
        <f>SUM($B$86:J86)</f>
        <v>-14935774.907535158</v>
      </c>
      <c r="K87" s="253">
        <f>SUM($B$86:K86)</f>
        <v>-14875003.328483166</v>
      </c>
      <c r="L87" s="253">
        <f>SUM($B$86:L86)</f>
        <v>-14600180.74321471</v>
      </c>
      <c r="M87" s="253">
        <f>SUM($B$86:M86)</f>
        <v>-14564167.955628343</v>
      </c>
      <c r="N87" s="253">
        <f>SUM($B$86:N86)</f>
        <v>-14495471.68764133</v>
      </c>
      <c r="O87" s="253">
        <f>SUM($B$86:O86)</f>
        <v>-14509931.969645154</v>
      </c>
      <c r="P87" s="253">
        <f>SUM($B$86:P86)</f>
        <v>-14494464.237708373</v>
      </c>
      <c r="Q87" s="253">
        <f>SUM($B$86:Q86)</f>
        <v>-12164512.778385423</v>
      </c>
      <c r="R87" s="253">
        <f>SUM($B$86:R86)</f>
        <v>-10410946.660722559</v>
      </c>
      <c r="S87" s="253">
        <f>SUM($B$86:S86)</f>
        <v>-8950678.0213160329</v>
      </c>
      <c r="T87" s="253">
        <f>SUM($B$86:T86)</f>
        <v>-7734651.2040154794</v>
      </c>
      <c r="U87" s="253">
        <f>SUM($B$86:U86)</f>
        <v>-6731438.1792315422</v>
      </c>
      <c r="V87" s="253">
        <f>SUM($B$86:V86)</f>
        <v>-5888174.7165759047</v>
      </c>
      <c r="W87" s="253">
        <f>SUM($B$86:W86)</f>
        <v>-5185954.9997437857</v>
      </c>
      <c r="X87" s="253">
        <f>SUM($B$86:X86)</f>
        <v>-4601188.4318677811</v>
      </c>
      <c r="Y87" s="253">
        <f>SUM($B$86:Y86)</f>
        <v>-4114230.0665411893</v>
      </c>
      <c r="Z87" s="253">
        <f>SUM($B$86:Z86)</f>
        <v>-3708720.685355206</v>
      </c>
      <c r="AA87" s="253">
        <f>SUM($B$86:AA86)</f>
        <v>-3371037.2481887001</v>
      </c>
      <c r="AB87" s="253">
        <f>SUM($B$86:AB86)</f>
        <v>-3089835.2565125679</v>
      </c>
      <c r="AC87" s="253">
        <f>SUM($B$86:AC86)</f>
        <v>-2855667.6573068653</v>
      </c>
      <c r="AD87" s="253">
        <f>SUM($B$86:AD86)</f>
        <v>-2660667.4861835642</v>
      </c>
      <c r="AE87" s="253">
        <f>SUM($B$86:AE86)</f>
        <v>-2498283.5893153558</v>
      </c>
    </row>
    <row r="88" spans="1:31" x14ac:dyDescent="0.2">
      <c r="A88" s="259" t="s">
        <v>573</v>
      </c>
      <c r="B88" s="263">
        <f>IF((ISERR(IRR($B$83:B83))),0,IF(IRR($B$83:B83)&lt;0,0,IRR($B$83:B83)))</f>
        <v>0</v>
      </c>
      <c r="C88" s="263">
        <f>IF((ISERR(IRR($B$83:C83))),0,IF(IRR($B$83:C83)&lt;0,0,IRR($B$83:C83)))</f>
        <v>0</v>
      </c>
      <c r="D88" s="263">
        <f>IF((ISERR(IRR($B$83:D83))),0,IF(IRR($B$83:D83)&lt;0,0,IRR($B$83:D83)))</f>
        <v>0</v>
      </c>
      <c r="E88" s="263">
        <f>IF((ISERR(IRR($B$83:E83))),0,IF(IRR($B$83:E83)&lt;0,0,IRR($B$83:E83)))</f>
        <v>0</v>
      </c>
      <c r="F88" s="263">
        <f>IF((ISERR(IRR($B$83:F83))),0,IF(IRR($B$83:F83)&lt;0,0,IRR($B$83:F83)))</f>
        <v>0</v>
      </c>
      <c r="G88" s="263">
        <f>IF((ISERR(IRR($B$83:G83))),0,IF(IRR($B$83:G83)&lt;0,0,IRR($B$83:G83)))</f>
        <v>0</v>
      </c>
      <c r="H88" s="263">
        <f>IF((ISERR(IRR($B$83:H83))),0,IF(IRR($B$83:H83)&lt;0,0,IRR($B$83:H83)))</f>
        <v>0</v>
      </c>
      <c r="I88" s="263">
        <f>IF((ISERR(IRR($B$83:I83))),0,IF(IRR($B$83:I83)&lt;0,0,IRR($B$83:I83)))</f>
        <v>0</v>
      </c>
      <c r="J88" s="263">
        <f>IF((ISERR(IRR($B$83:J83))),0,IF(IRR($B$83:J83)&lt;0,0,IRR($B$83:J83)))</f>
        <v>0</v>
      </c>
      <c r="K88" s="263">
        <f>IF((ISERR(IRR($B$83:K83))),0,IF(IRR($B$83:K83)&lt;0,0,IRR($B$83:K83)))</f>
        <v>0</v>
      </c>
      <c r="L88" s="263">
        <f>IF((ISERR(IRR($B$83:L83))),0,IF(IRR($B$83:L83)&lt;0,0,IRR($B$83:L83)))</f>
        <v>0</v>
      </c>
      <c r="M88" s="263">
        <f>IF((ISERR(IRR($B$83:M83))),0,IF(IRR($B$83:M83)&lt;0,0,IRR($B$83:M83)))</f>
        <v>0</v>
      </c>
      <c r="N88" s="263">
        <f>IF((ISERR(IRR($B$83:N83))),0,IF(IRR($B$83:N83)&lt;0,0,IRR($B$83:N83)))</f>
        <v>0</v>
      </c>
      <c r="O88" s="263">
        <f>IF((ISERR(IRR($B$83:O83))),0,IF(IRR($B$83:O83)&lt;0,0,IRR($B$83:O83)))</f>
        <v>0</v>
      </c>
      <c r="P88" s="263">
        <f>IF((ISERR(IRR($B$83:P83))),0,IF(IRR($B$83:P83)&lt;0,0,IRR($B$83:P83)))</f>
        <v>0</v>
      </c>
      <c r="Q88" s="263">
        <f>IF((ISERR(IRR($B$83:Q83))),0,IF(IRR($B$83:Q83)&lt;0,0,IRR($B$83:Q83)))</f>
        <v>5.3170799779415079E-2</v>
      </c>
      <c r="R88" s="263">
        <f>IF((ISERR(IRR($B$83:R83))),0,IF(IRR($B$83:R83)&lt;0,0,IRR($B$83:R83)))</f>
        <v>9.8655001082203375E-2</v>
      </c>
      <c r="S88" s="263">
        <f>IF((ISERR(IRR($B$83:S83))),0,IF(IRR($B$83:S83)&lt;0,0,IRR($B$83:S83)))</f>
        <v>0.12428741460744486</v>
      </c>
      <c r="T88" s="263">
        <f>IF((ISERR(IRR($B$83:T83))),0,IF(IRR($B$83:T83)&lt;0,0,IRR($B$83:T83)))</f>
        <v>0.14098788903825699</v>
      </c>
      <c r="U88" s="263">
        <f>IF((ISERR(IRR($B$83:U83))),0,IF(IRR($B$83:U83)&lt;0,0,IRR($B$83:U83)))</f>
        <v>0.15256412733160496</v>
      </c>
      <c r="V88" s="263">
        <f>IF((ISERR(IRR($B$83:V83))),0,IF(IRR($B$83:V83)&lt;0,0,IRR($B$83:V83)))</f>
        <v>0.16109185784946001</v>
      </c>
      <c r="W88" s="263">
        <f>IF((ISERR(IRR($B$83:W83))),0,IF(IRR($B$83:W83)&lt;0,0,IRR($B$83:W83)))</f>
        <v>0.16748912522608927</v>
      </c>
      <c r="X88" s="263">
        <f>IF((ISERR(IRR($B$83:X83))),0,IF(IRR($B$83:X83)&lt;0,0,IRR($B$83:X83)))</f>
        <v>0.17238772158320348</v>
      </c>
      <c r="Y88" s="263">
        <f>IF((ISERR(IRR($B$83:Y83))),0,IF(IRR($B$83:Y83)&lt;0,0,IRR($B$83:Y83)))</f>
        <v>0.1761973624745321</v>
      </c>
      <c r="Z88" s="263">
        <f>IF((ISERR(IRR($B$83:Z83))),0,IF(IRR($B$83:Z83)&lt;0,0,IRR($B$83:Z83)))</f>
        <v>0.17919623944207275</v>
      </c>
      <c r="AA88" s="263">
        <f>IF((ISERR(IRR($B$83:AA83))),0,IF(IRR($B$83:AA83)&lt;0,0,IRR($B$83:AA83)))</f>
        <v>0.18157991655160233</v>
      </c>
      <c r="AB88" s="263">
        <f>IF((ISERR(IRR($B$83:AB83))),0,IF(IRR($B$83:AB83)&lt;0,0,IRR($B$83:AB83)))</f>
        <v>0.18348965636249259</v>
      </c>
      <c r="AC88" s="263">
        <f>IF((ISERR(IRR($B$83:AC83))),0,IF(IRR($B$83:AC83)&lt;0,0,IRR($B$83:AC83)))</f>
        <v>0.18502974521519611</v>
      </c>
      <c r="AD88" s="263">
        <f>IF((ISERR(IRR($B$83:AD83))),0,IF(IRR($B$83:AD83)&lt;0,0,IRR($B$83:AD83)))</f>
        <v>0.18627855778867342</v>
      </c>
      <c r="AE88" s="263">
        <f>IF((ISERR(IRR($B$83:AE83))),0,IF(IRR($B$83:AE83)&lt;0,0,IRR($B$83:AE83)))</f>
        <v>0.18729587611294685</v>
      </c>
    </row>
    <row r="89" spans="1:31" x14ac:dyDescent="0.2">
      <c r="A89" s="259" t="s">
        <v>574</v>
      </c>
      <c r="B89" s="264">
        <f t="shared" ref="B89:AE89" si="16">IF(AND(B84&gt;0,A84&lt;0),(B74-(B84/(B84-A84))),0)</f>
        <v>0</v>
      </c>
      <c r="C89" s="264">
        <f t="shared" si="16"/>
        <v>0</v>
      </c>
      <c r="D89" s="264">
        <f t="shared" si="16"/>
        <v>0</v>
      </c>
      <c r="E89" s="264">
        <f t="shared" si="16"/>
        <v>0</v>
      </c>
      <c r="F89" s="264">
        <f t="shared" si="16"/>
        <v>0</v>
      </c>
      <c r="G89" s="264">
        <f t="shared" si="16"/>
        <v>0</v>
      </c>
      <c r="H89" s="264">
        <f t="shared" si="16"/>
        <v>0</v>
      </c>
      <c r="I89" s="264">
        <f t="shared" si="16"/>
        <v>0</v>
      </c>
      <c r="J89" s="264">
        <f t="shared" si="16"/>
        <v>0</v>
      </c>
      <c r="K89" s="264">
        <f t="shared" si="16"/>
        <v>0</v>
      </c>
      <c r="L89" s="264">
        <f t="shared" si="16"/>
        <v>0</v>
      </c>
      <c r="M89" s="264">
        <f t="shared" si="16"/>
        <v>0</v>
      </c>
      <c r="N89" s="264">
        <f t="shared" si="16"/>
        <v>0</v>
      </c>
      <c r="O89" s="264">
        <f t="shared" si="16"/>
        <v>0</v>
      </c>
      <c r="P89" s="264">
        <f t="shared" si="16"/>
        <v>0</v>
      </c>
      <c r="Q89" s="264">
        <f t="shared" si="16"/>
        <v>15.469187479977593</v>
      </c>
      <c r="R89" s="264">
        <f t="shared" si="16"/>
        <v>0</v>
      </c>
      <c r="S89" s="264">
        <f t="shared" si="16"/>
        <v>0</v>
      </c>
      <c r="T89" s="264">
        <f t="shared" si="16"/>
        <v>0</v>
      </c>
      <c r="U89" s="264">
        <f t="shared" si="16"/>
        <v>0</v>
      </c>
      <c r="V89" s="264">
        <f t="shared" si="16"/>
        <v>0</v>
      </c>
      <c r="W89" s="264">
        <f t="shared" si="16"/>
        <v>0</v>
      </c>
      <c r="X89" s="264">
        <f t="shared" si="16"/>
        <v>0</v>
      </c>
      <c r="Y89" s="264">
        <f t="shared" si="16"/>
        <v>0</v>
      </c>
      <c r="Z89" s="264">
        <f t="shared" si="16"/>
        <v>0</v>
      </c>
      <c r="AA89" s="264">
        <f t="shared" si="16"/>
        <v>0</v>
      </c>
      <c r="AB89" s="264">
        <f t="shared" si="16"/>
        <v>0</v>
      </c>
      <c r="AC89" s="264">
        <f t="shared" si="16"/>
        <v>0</v>
      </c>
      <c r="AD89" s="264">
        <f t="shared" si="16"/>
        <v>0</v>
      </c>
      <c r="AE89" s="264">
        <f t="shared" si="16"/>
        <v>0</v>
      </c>
    </row>
    <row r="90" spans="1:31" ht="13.5" thickBot="1" x14ac:dyDescent="0.25">
      <c r="A90" s="265" t="s">
        <v>575</v>
      </c>
      <c r="B90" s="266">
        <f t="shared" ref="B90:AE90" si="17">IF(AND(B87&gt;0,A87&lt;0),(B74-(B87/(B87-A87))),0)</f>
        <v>0</v>
      </c>
      <c r="C90" s="266">
        <f t="shared" si="17"/>
        <v>0</v>
      </c>
      <c r="D90" s="266">
        <f t="shared" si="17"/>
        <v>0</v>
      </c>
      <c r="E90" s="266">
        <f t="shared" si="17"/>
        <v>0</v>
      </c>
      <c r="F90" s="266">
        <f t="shared" si="17"/>
        <v>0</v>
      </c>
      <c r="G90" s="266">
        <f t="shared" si="17"/>
        <v>0</v>
      </c>
      <c r="H90" s="266">
        <f t="shared" si="17"/>
        <v>0</v>
      </c>
      <c r="I90" s="266">
        <f t="shared" si="17"/>
        <v>0</v>
      </c>
      <c r="J90" s="266">
        <f t="shared" si="17"/>
        <v>0</v>
      </c>
      <c r="K90" s="266">
        <f t="shared" si="17"/>
        <v>0</v>
      </c>
      <c r="L90" s="266">
        <f t="shared" si="17"/>
        <v>0</v>
      </c>
      <c r="M90" s="266">
        <f t="shared" si="17"/>
        <v>0</v>
      </c>
      <c r="N90" s="266">
        <f t="shared" si="17"/>
        <v>0</v>
      </c>
      <c r="O90" s="266">
        <f t="shared" si="17"/>
        <v>0</v>
      </c>
      <c r="P90" s="266">
        <f t="shared" si="17"/>
        <v>0</v>
      </c>
      <c r="Q90" s="266">
        <f t="shared" si="17"/>
        <v>0</v>
      </c>
      <c r="R90" s="266">
        <f t="shared" si="17"/>
        <v>0</v>
      </c>
      <c r="S90" s="266">
        <f t="shared" si="17"/>
        <v>0</v>
      </c>
      <c r="T90" s="266">
        <f t="shared" si="17"/>
        <v>0</v>
      </c>
      <c r="U90" s="266">
        <f t="shared" si="17"/>
        <v>0</v>
      </c>
      <c r="V90" s="266">
        <f t="shared" si="17"/>
        <v>0</v>
      </c>
      <c r="W90" s="266">
        <f t="shared" si="17"/>
        <v>0</v>
      </c>
      <c r="X90" s="266">
        <f t="shared" si="17"/>
        <v>0</v>
      </c>
      <c r="Y90" s="266">
        <f t="shared" si="17"/>
        <v>0</v>
      </c>
      <c r="Z90" s="266">
        <f t="shared" si="17"/>
        <v>0</v>
      </c>
      <c r="AA90" s="266">
        <f t="shared" si="17"/>
        <v>0</v>
      </c>
      <c r="AB90" s="266">
        <f t="shared" si="17"/>
        <v>0</v>
      </c>
      <c r="AC90" s="266">
        <f t="shared" si="17"/>
        <v>0</v>
      </c>
      <c r="AD90" s="266">
        <f t="shared" si="17"/>
        <v>0</v>
      </c>
      <c r="AE90" s="266">
        <f t="shared" si="17"/>
        <v>0</v>
      </c>
    </row>
    <row r="91" spans="1:31" x14ac:dyDescent="0.2">
      <c r="A91" s="267"/>
      <c r="B91" s="267">
        <v>2025</v>
      </c>
      <c r="C91" s="267">
        <f t="shared" ref="C91:AE92" si="18">B91+1</f>
        <v>2026</v>
      </c>
      <c r="D91" s="267">
        <f t="shared" si="18"/>
        <v>2027</v>
      </c>
      <c r="E91" s="267">
        <f t="shared" si="18"/>
        <v>2028</v>
      </c>
      <c r="F91" s="267">
        <f t="shared" si="18"/>
        <v>2029</v>
      </c>
      <c r="G91" s="267">
        <f t="shared" si="18"/>
        <v>2030</v>
      </c>
      <c r="H91" s="267">
        <f t="shared" si="18"/>
        <v>2031</v>
      </c>
      <c r="I91" s="267">
        <f t="shared" si="18"/>
        <v>2032</v>
      </c>
      <c r="J91" s="267">
        <f t="shared" si="18"/>
        <v>2033</v>
      </c>
      <c r="K91" s="267">
        <f t="shared" si="18"/>
        <v>2034</v>
      </c>
      <c r="L91" s="267">
        <f t="shared" si="18"/>
        <v>2035</v>
      </c>
      <c r="M91" s="267">
        <f t="shared" si="18"/>
        <v>2036</v>
      </c>
      <c r="N91" s="267">
        <f t="shared" si="18"/>
        <v>2037</v>
      </c>
      <c r="O91" s="267">
        <f t="shared" si="18"/>
        <v>2038</v>
      </c>
      <c r="P91" s="267">
        <f t="shared" si="18"/>
        <v>2039</v>
      </c>
      <c r="Q91" s="267">
        <f t="shared" si="18"/>
        <v>2040</v>
      </c>
      <c r="R91" s="267">
        <f t="shared" si="18"/>
        <v>2041</v>
      </c>
      <c r="S91" s="267">
        <f t="shared" si="18"/>
        <v>2042</v>
      </c>
      <c r="T91" s="267">
        <f t="shared" si="18"/>
        <v>2043</v>
      </c>
      <c r="U91" s="267">
        <f t="shared" si="18"/>
        <v>2044</v>
      </c>
      <c r="V91" s="267">
        <f t="shared" si="18"/>
        <v>2045</v>
      </c>
      <c r="W91" s="267">
        <f t="shared" si="18"/>
        <v>2046</v>
      </c>
      <c r="X91" s="267">
        <f t="shared" si="18"/>
        <v>2047</v>
      </c>
      <c r="Y91" s="267">
        <f t="shared" si="18"/>
        <v>2048</v>
      </c>
      <c r="Z91" s="267">
        <f t="shared" si="18"/>
        <v>2049</v>
      </c>
      <c r="AA91" s="267">
        <f t="shared" si="18"/>
        <v>2050</v>
      </c>
      <c r="AB91" s="267">
        <f t="shared" si="18"/>
        <v>2051</v>
      </c>
      <c r="AC91" s="267">
        <f t="shared" si="18"/>
        <v>2052</v>
      </c>
      <c r="AD91" s="267">
        <f t="shared" si="18"/>
        <v>2053</v>
      </c>
      <c r="AE91" s="267">
        <f t="shared" si="18"/>
        <v>2054</v>
      </c>
    </row>
    <row r="92" spans="1:31" x14ac:dyDescent="0.2">
      <c r="B92" s="197">
        <v>1</v>
      </c>
      <c r="C92" s="197">
        <f>B92+1</f>
        <v>2</v>
      </c>
      <c r="D92" s="197">
        <f t="shared" si="18"/>
        <v>3</v>
      </c>
      <c r="E92" s="197">
        <f t="shared" si="18"/>
        <v>4</v>
      </c>
      <c r="F92" s="197">
        <f t="shared" si="18"/>
        <v>5</v>
      </c>
      <c r="G92" s="197">
        <f t="shared" si="18"/>
        <v>6</v>
      </c>
      <c r="H92" s="197">
        <f t="shared" si="18"/>
        <v>7</v>
      </c>
      <c r="I92" s="197">
        <f t="shared" si="18"/>
        <v>8</v>
      </c>
      <c r="J92" s="197">
        <f t="shared" si="18"/>
        <v>9</v>
      </c>
      <c r="K92" s="197">
        <f t="shared" si="18"/>
        <v>10</v>
      </c>
      <c r="L92" s="197">
        <f t="shared" si="18"/>
        <v>11</v>
      </c>
      <c r="M92" s="197">
        <f t="shared" si="18"/>
        <v>12</v>
      </c>
      <c r="N92" s="197">
        <f t="shared" si="18"/>
        <v>13</v>
      </c>
      <c r="O92" s="197">
        <f t="shared" si="18"/>
        <v>14</v>
      </c>
      <c r="P92" s="197">
        <f t="shared" si="18"/>
        <v>15</v>
      </c>
      <c r="Q92" s="197">
        <f t="shared" si="18"/>
        <v>16</v>
      </c>
      <c r="R92" s="197">
        <f t="shared" si="18"/>
        <v>17</v>
      </c>
      <c r="S92" s="197">
        <f t="shared" si="18"/>
        <v>18</v>
      </c>
      <c r="T92" s="197">
        <f t="shared" si="18"/>
        <v>19</v>
      </c>
      <c r="U92" s="197">
        <f t="shared" si="18"/>
        <v>20</v>
      </c>
      <c r="V92" s="197">
        <f t="shared" si="18"/>
        <v>21</v>
      </c>
      <c r="W92" s="197">
        <f t="shared" si="18"/>
        <v>22</v>
      </c>
      <c r="X92" s="197">
        <f t="shared" si="18"/>
        <v>23</v>
      </c>
      <c r="Y92" s="197">
        <f t="shared" si="18"/>
        <v>24</v>
      </c>
      <c r="Z92" s="197">
        <f t="shared" si="18"/>
        <v>25</v>
      </c>
      <c r="AA92" s="197">
        <f t="shared" si="18"/>
        <v>26</v>
      </c>
      <c r="AB92" s="197">
        <f t="shared" si="18"/>
        <v>27</v>
      </c>
      <c r="AC92" s="197">
        <f t="shared" si="18"/>
        <v>28</v>
      </c>
      <c r="AD92" s="197">
        <f t="shared" si="18"/>
        <v>29</v>
      </c>
      <c r="AE92" s="197">
        <f t="shared" si="18"/>
        <v>30</v>
      </c>
    </row>
    <row r="93" spans="1:31" x14ac:dyDescent="0.2">
      <c r="A93" s="392" t="s">
        <v>576</v>
      </c>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row>
    <row r="94" spans="1:31" x14ac:dyDescent="0.2">
      <c r="A94" s="392" t="s">
        <v>577</v>
      </c>
      <c r="B94" s="392"/>
      <c r="C94" s="392"/>
      <c r="D94" s="392"/>
      <c r="E94" s="392"/>
      <c r="F94" s="392"/>
      <c r="G94" s="392"/>
      <c r="H94" s="392"/>
      <c r="I94" s="392"/>
      <c r="N94" s="197"/>
    </row>
    <row r="95" spans="1:31" x14ac:dyDescent="0.2">
      <c r="C95" s="268"/>
      <c r="N95" s="197"/>
    </row>
    <row r="96" spans="1:31" x14ac:dyDescent="0.2">
      <c r="N96" s="197"/>
    </row>
    <row r="97" spans="14:14" s="187" customFormat="1" x14ac:dyDescent="0.2">
      <c r="N97" s="197"/>
    </row>
    <row r="98" spans="14:14" s="187" customFormat="1" x14ac:dyDescent="0.2">
      <c r="N98" s="197"/>
    </row>
    <row r="99" spans="14:14" s="187" customFormat="1" x14ac:dyDescent="0.2">
      <c r="N99" s="197"/>
    </row>
    <row r="100" spans="14:14" s="187" customFormat="1" x14ac:dyDescent="0.2">
      <c r="N100" s="197"/>
    </row>
    <row r="101" spans="14:14" s="187" customFormat="1" x14ac:dyDescent="0.2">
      <c r="N101" s="197"/>
    </row>
    <row r="102" spans="14:14" s="187" customFormat="1" x14ac:dyDescent="0.2">
      <c r="N102" s="197"/>
    </row>
    <row r="103" spans="14:14" s="187" customFormat="1" x14ac:dyDescent="0.2">
      <c r="N103" s="197"/>
    </row>
    <row r="104" spans="14:14" s="187" customFormat="1" x14ac:dyDescent="0.2">
      <c r="N104" s="197"/>
    </row>
    <row r="105" spans="14:14" s="187" customFormat="1" x14ac:dyDescent="0.2">
      <c r="N105" s="197"/>
    </row>
    <row r="106" spans="14:14" s="187" customFormat="1" x14ac:dyDescent="0.2">
      <c r="N106" s="197"/>
    </row>
    <row r="107" spans="14:14" s="187" customFormat="1" x14ac:dyDescent="0.2">
      <c r="N107" s="197"/>
    </row>
    <row r="108" spans="14:14" s="187" customFormat="1" x14ac:dyDescent="0.2">
      <c r="N108" s="197"/>
    </row>
    <row r="109" spans="14:14" s="187" customFormat="1" x14ac:dyDescent="0.2">
      <c r="N109" s="197"/>
    </row>
    <row r="110" spans="14:14" s="187" customFormat="1" x14ac:dyDescent="0.2">
      <c r="N110" s="197"/>
    </row>
    <row r="111" spans="14:14" s="187" customFormat="1" x14ac:dyDescent="0.2">
      <c r="N111" s="197"/>
    </row>
    <row r="112" spans="14:14" s="187" customFormat="1" x14ac:dyDescent="0.2">
      <c r="N112" s="197"/>
    </row>
    <row r="113" spans="14:14" s="187" customFormat="1" x14ac:dyDescent="0.2">
      <c r="N113" s="197"/>
    </row>
    <row r="114" spans="14:14" s="187" customFormat="1" x14ac:dyDescent="0.2">
      <c r="N114" s="197"/>
    </row>
    <row r="115" spans="14:14" s="187" customFormat="1" x14ac:dyDescent="0.2">
      <c r="N115" s="197"/>
    </row>
    <row r="116" spans="14:14" s="187" customFormat="1" x14ac:dyDescent="0.2">
      <c r="N116" s="197"/>
    </row>
    <row r="117" spans="14:14" s="187" customFormat="1" x14ac:dyDescent="0.2">
      <c r="N117" s="197"/>
    </row>
    <row r="118" spans="14:14" s="187" customFormat="1" x14ac:dyDescent="0.2">
      <c r="N118" s="197"/>
    </row>
    <row r="119" spans="14:14" s="187" customFormat="1" x14ac:dyDescent="0.2">
      <c r="N119" s="197"/>
    </row>
    <row r="120" spans="14:14" s="187" customFormat="1" x14ac:dyDescent="0.2">
      <c r="N120" s="197"/>
    </row>
    <row r="121" spans="14:14" s="187" customFormat="1" x14ac:dyDescent="0.2">
      <c r="N121" s="197"/>
    </row>
    <row r="122" spans="14:14" s="187" customFormat="1" x14ac:dyDescent="0.2">
      <c r="N122" s="197"/>
    </row>
    <row r="123" spans="14:14" s="187" customFormat="1" x14ac:dyDescent="0.2">
      <c r="N123" s="197"/>
    </row>
    <row r="124" spans="14:14" s="187" customFormat="1" x14ac:dyDescent="0.2">
      <c r="N124" s="197"/>
    </row>
    <row r="125" spans="14:14" s="187" customFormat="1" x14ac:dyDescent="0.2">
      <c r="N125" s="197"/>
    </row>
    <row r="126" spans="14:14" s="187" customFormat="1" x14ac:dyDescent="0.2">
      <c r="N126" s="197"/>
    </row>
    <row r="127" spans="14:14" s="187" customFormat="1" x14ac:dyDescent="0.2">
      <c r="N127" s="197"/>
    </row>
    <row r="128" spans="14:14" s="187" customFormat="1" x14ac:dyDescent="0.2">
      <c r="N128" s="197"/>
    </row>
    <row r="129" spans="14:14" s="187" customFormat="1" x14ac:dyDescent="0.2">
      <c r="N129" s="197"/>
    </row>
    <row r="130" spans="14:14" s="187" customFormat="1" x14ac:dyDescent="0.2">
      <c r="N130" s="197"/>
    </row>
    <row r="131" spans="14:14" s="187" customFormat="1" x14ac:dyDescent="0.2">
      <c r="N131" s="197"/>
    </row>
    <row r="132" spans="14:14" s="187" customFormat="1" x14ac:dyDescent="0.2">
      <c r="N132" s="197"/>
    </row>
    <row r="133" spans="14:14" s="187" customFormat="1" x14ac:dyDescent="0.2">
      <c r="N133" s="197"/>
    </row>
    <row r="134" spans="14:14" s="187" customFormat="1" x14ac:dyDescent="0.2">
      <c r="N134" s="197"/>
    </row>
    <row r="135" spans="14:14" s="187" customFormat="1" x14ac:dyDescent="0.2">
      <c r="N135" s="197"/>
    </row>
    <row r="136" spans="14:14" s="187" customFormat="1" x14ac:dyDescent="0.2">
      <c r="N136" s="197"/>
    </row>
    <row r="137" spans="14:14" s="187" customFormat="1" x14ac:dyDescent="0.2">
      <c r="N137" s="197"/>
    </row>
    <row r="138" spans="14:14" s="187" customFormat="1" x14ac:dyDescent="0.2">
      <c r="N138" s="197"/>
    </row>
    <row r="139" spans="14:14" s="187" customFormat="1" x14ac:dyDescent="0.2">
      <c r="N139" s="197"/>
    </row>
    <row r="140" spans="14:14" s="187" customFormat="1" x14ac:dyDescent="0.2">
      <c r="N140" s="197"/>
    </row>
    <row r="141" spans="14:14" s="187" customFormat="1" x14ac:dyDescent="0.2">
      <c r="N141" s="197"/>
    </row>
    <row r="142" spans="14:14" s="187" customFormat="1" x14ac:dyDescent="0.2">
      <c r="N142" s="197"/>
    </row>
    <row r="143" spans="14:14" s="187" customFormat="1" x14ac:dyDescent="0.2">
      <c r="N143" s="197"/>
    </row>
    <row r="144" spans="14:14" s="187" customFormat="1" x14ac:dyDescent="0.2">
      <c r="N144" s="197"/>
    </row>
    <row r="145" spans="14:14" s="187" customFormat="1" x14ac:dyDescent="0.2">
      <c r="N145" s="197"/>
    </row>
    <row r="146" spans="14:14" s="187" customFormat="1" x14ac:dyDescent="0.2">
      <c r="N146" s="197"/>
    </row>
    <row r="147" spans="14:14" s="187" customFormat="1" x14ac:dyDescent="0.2">
      <c r="N147" s="197"/>
    </row>
    <row r="148" spans="14:14" s="187" customFormat="1" x14ac:dyDescent="0.2">
      <c r="N148" s="197"/>
    </row>
    <row r="149" spans="14:14" s="187" customFormat="1" x14ac:dyDescent="0.2">
      <c r="N149" s="197"/>
    </row>
    <row r="150" spans="14:14" s="187" customFormat="1" x14ac:dyDescent="0.2">
      <c r="N150" s="197"/>
    </row>
    <row r="151" spans="14:14" s="187" customFormat="1" x14ac:dyDescent="0.2">
      <c r="N151" s="197"/>
    </row>
    <row r="152" spans="14:14" s="187" customFormat="1" x14ac:dyDescent="0.2">
      <c r="N152" s="197"/>
    </row>
    <row r="153" spans="14:14" s="187" customFormat="1" x14ac:dyDescent="0.2">
      <c r="N153" s="197"/>
    </row>
    <row r="154" spans="14:14" s="187" customFormat="1" x14ac:dyDescent="0.2">
      <c r="N154" s="197"/>
    </row>
    <row r="155" spans="14:14" s="187" customFormat="1" x14ac:dyDescent="0.2">
      <c r="N155" s="197"/>
    </row>
    <row r="156" spans="14:14" s="187" customFormat="1" x14ac:dyDescent="0.2">
      <c r="N156" s="197"/>
    </row>
    <row r="157" spans="14:14" s="187" customFormat="1" x14ac:dyDescent="0.2">
      <c r="N157" s="197"/>
    </row>
    <row r="158" spans="14:14" s="187" customFormat="1" x14ac:dyDescent="0.2">
      <c r="N158" s="197"/>
    </row>
    <row r="159" spans="14:14" s="187" customFormat="1" x14ac:dyDescent="0.2">
      <c r="N159" s="197"/>
    </row>
    <row r="160" spans="14:14" s="187" customFormat="1" x14ac:dyDescent="0.2">
      <c r="N160" s="197"/>
    </row>
    <row r="161" spans="14:14" s="187" customFormat="1" x14ac:dyDescent="0.2">
      <c r="N161" s="197"/>
    </row>
    <row r="162" spans="14:14" s="187" customFormat="1" x14ac:dyDescent="0.2">
      <c r="N162" s="197"/>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14" zoomScale="80" zoomScaleSheetLayoutView="80" workbookViewId="0">
      <selection activeCell="D54" sqref="D54"/>
    </sheetView>
  </sheetViews>
  <sheetFormatPr defaultRowHeight="15.75" x14ac:dyDescent="0.25"/>
  <cols>
    <col min="1" max="1" width="9.140625" style="31"/>
    <col min="2" max="2" width="37.7109375" style="31" customWidth="1"/>
    <col min="3" max="4" width="16" style="31" customWidth="1"/>
    <col min="5" max="6" width="16" style="31" hidden="1" customWidth="1"/>
    <col min="7" max="8" width="16" style="31" customWidth="1"/>
    <col min="9" max="10" width="18.28515625" style="31" customWidth="1"/>
    <col min="11" max="11" width="64.85546875" style="31" customWidth="1"/>
    <col min="12" max="251" width="9.140625" style="31"/>
    <col min="252" max="252" width="37.7109375" style="31" customWidth="1"/>
    <col min="253" max="253" width="9.140625" style="31"/>
    <col min="254" max="254" width="12.85546875" style="31" customWidth="1"/>
    <col min="255" max="256" width="0" style="31" hidden="1" customWidth="1"/>
    <col min="257" max="257" width="18.28515625" style="31" customWidth="1"/>
    <col min="258" max="258" width="64.85546875" style="31" customWidth="1"/>
    <col min="259" max="262" width="9.140625" style="31"/>
    <col min="263" max="263" width="14.85546875" style="31" customWidth="1"/>
    <col min="264" max="507" width="9.140625" style="31"/>
    <col min="508" max="508" width="37.7109375" style="31" customWidth="1"/>
    <col min="509" max="509" width="9.140625" style="31"/>
    <col min="510" max="510" width="12.85546875" style="31" customWidth="1"/>
    <col min="511" max="512" width="0" style="31" hidden="1" customWidth="1"/>
    <col min="513" max="513" width="18.28515625" style="31" customWidth="1"/>
    <col min="514" max="514" width="64.85546875" style="31" customWidth="1"/>
    <col min="515" max="518" width="9.140625" style="31"/>
    <col min="519" max="519" width="14.85546875" style="31" customWidth="1"/>
    <col min="520" max="763" width="9.140625" style="31"/>
    <col min="764" max="764" width="37.7109375" style="31" customWidth="1"/>
    <col min="765" max="765" width="9.140625" style="31"/>
    <col min="766" max="766" width="12.85546875" style="31" customWidth="1"/>
    <col min="767" max="768" width="0" style="31" hidden="1" customWidth="1"/>
    <col min="769" max="769" width="18.28515625" style="31" customWidth="1"/>
    <col min="770" max="770" width="64.85546875" style="31" customWidth="1"/>
    <col min="771" max="774" width="9.140625" style="31"/>
    <col min="775" max="775" width="14.85546875" style="31" customWidth="1"/>
    <col min="776" max="1019" width="9.140625" style="31"/>
    <col min="1020" max="1020" width="37.7109375" style="31" customWidth="1"/>
    <col min="1021" max="1021" width="9.140625" style="31"/>
    <col min="1022" max="1022" width="12.85546875" style="31" customWidth="1"/>
    <col min="1023" max="1024" width="0" style="31" hidden="1" customWidth="1"/>
    <col min="1025" max="1025" width="18.28515625" style="31" customWidth="1"/>
    <col min="1026" max="1026" width="64.85546875" style="31" customWidth="1"/>
    <col min="1027" max="1030" width="9.140625" style="31"/>
    <col min="1031" max="1031" width="14.85546875" style="31" customWidth="1"/>
    <col min="1032" max="1275" width="9.140625" style="31"/>
    <col min="1276" max="1276" width="37.7109375" style="31" customWidth="1"/>
    <col min="1277" max="1277" width="9.140625" style="31"/>
    <col min="1278" max="1278" width="12.85546875" style="31" customWidth="1"/>
    <col min="1279" max="1280" width="0" style="31" hidden="1" customWidth="1"/>
    <col min="1281" max="1281" width="18.28515625" style="31" customWidth="1"/>
    <col min="1282" max="1282" width="64.85546875" style="31" customWidth="1"/>
    <col min="1283" max="1286" width="9.140625" style="31"/>
    <col min="1287" max="1287" width="14.85546875" style="31" customWidth="1"/>
    <col min="1288" max="1531" width="9.140625" style="31"/>
    <col min="1532" max="1532" width="37.7109375" style="31" customWidth="1"/>
    <col min="1533" max="1533" width="9.140625" style="31"/>
    <col min="1534" max="1534" width="12.85546875" style="31" customWidth="1"/>
    <col min="1535" max="1536" width="0" style="31" hidden="1" customWidth="1"/>
    <col min="1537" max="1537" width="18.28515625" style="31" customWidth="1"/>
    <col min="1538" max="1538" width="64.85546875" style="31" customWidth="1"/>
    <col min="1539" max="1542" width="9.140625" style="31"/>
    <col min="1543" max="1543" width="14.85546875" style="31" customWidth="1"/>
    <col min="1544" max="1787" width="9.140625" style="31"/>
    <col min="1788" max="1788" width="37.7109375" style="31" customWidth="1"/>
    <col min="1789" max="1789" width="9.140625" style="31"/>
    <col min="1790" max="1790" width="12.85546875" style="31" customWidth="1"/>
    <col min="1791" max="1792" width="0" style="31" hidden="1" customWidth="1"/>
    <col min="1793" max="1793" width="18.28515625" style="31" customWidth="1"/>
    <col min="1794" max="1794" width="64.85546875" style="31" customWidth="1"/>
    <col min="1795" max="1798" width="9.140625" style="31"/>
    <col min="1799" max="1799" width="14.85546875" style="31" customWidth="1"/>
    <col min="1800" max="2043" width="9.140625" style="31"/>
    <col min="2044" max="2044" width="37.7109375" style="31" customWidth="1"/>
    <col min="2045" max="2045" width="9.140625" style="31"/>
    <col min="2046" max="2046" width="12.85546875" style="31" customWidth="1"/>
    <col min="2047" max="2048" width="0" style="31" hidden="1" customWidth="1"/>
    <col min="2049" max="2049" width="18.28515625" style="31" customWidth="1"/>
    <col min="2050" max="2050" width="64.85546875" style="31" customWidth="1"/>
    <col min="2051" max="2054" width="9.140625" style="31"/>
    <col min="2055" max="2055" width="14.85546875" style="31" customWidth="1"/>
    <col min="2056" max="2299" width="9.140625" style="31"/>
    <col min="2300" max="2300" width="37.7109375" style="31" customWidth="1"/>
    <col min="2301" max="2301" width="9.140625" style="31"/>
    <col min="2302" max="2302" width="12.85546875" style="31" customWidth="1"/>
    <col min="2303" max="2304" width="0" style="31" hidden="1" customWidth="1"/>
    <col min="2305" max="2305" width="18.28515625" style="31" customWidth="1"/>
    <col min="2306" max="2306" width="64.85546875" style="31" customWidth="1"/>
    <col min="2307" max="2310" width="9.140625" style="31"/>
    <col min="2311" max="2311" width="14.85546875" style="31" customWidth="1"/>
    <col min="2312" max="2555" width="9.140625" style="31"/>
    <col min="2556" max="2556" width="37.7109375" style="31" customWidth="1"/>
    <col min="2557" max="2557" width="9.140625" style="31"/>
    <col min="2558" max="2558" width="12.85546875" style="31" customWidth="1"/>
    <col min="2559" max="2560" width="0" style="31" hidden="1" customWidth="1"/>
    <col min="2561" max="2561" width="18.28515625" style="31" customWidth="1"/>
    <col min="2562" max="2562" width="64.85546875" style="31" customWidth="1"/>
    <col min="2563" max="2566" width="9.140625" style="31"/>
    <col min="2567" max="2567" width="14.85546875" style="31" customWidth="1"/>
    <col min="2568" max="2811" width="9.140625" style="31"/>
    <col min="2812" max="2812" width="37.7109375" style="31" customWidth="1"/>
    <col min="2813" max="2813" width="9.140625" style="31"/>
    <col min="2814" max="2814" width="12.85546875" style="31" customWidth="1"/>
    <col min="2815" max="2816" width="0" style="31" hidden="1" customWidth="1"/>
    <col min="2817" max="2817" width="18.28515625" style="31" customWidth="1"/>
    <col min="2818" max="2818" width="64.85546875" style="31" customWidth="1"/>
    <col min="2819" max="2822" width="9.140625" style="31"/>
    <col min="2823" max="2823" width="14.85546875" style="31" customWidth="1"/>
    <col min="2824" max="3067" width="9.140625" style="31"/>
    <col min="3068" max="3068" width="37.7109375" style="31" customWidth="1"/>
    <col min="3069" max="3069" width="9.140625" style="31"/>
    <col min="3070" max="3070" width="12.85546875" style="31" customWidth="1"/>
    <col min="3071" max="3072" width="0" style="31" hidden="1" customWidth="1"/>
    <col min="3073" max="3073" width="18.28515625" style="31" customWidth="1"/>
    <col min="3074" max="3074" width="64.85546875" style="31" customWidth="1"/>
    <col min="3075" max="3078" width="9.140625" style="31"/>
    <col min="3079" max="3079" width="14.85546875" style="31" customWidth="1"/>
    <col min="3080" max="3323" width="9.140625" style="31"/>
    <col min="3324" max="3324" width="37.7109375" style="31" customWidth="1"/>
    <col min="3325" max="3325" width="9.140625" style="31"/>
    <col min="3326" max="3326" width="12.85546875" style="31" customWidth="1"/>
    <col min="3327" max="3328" width="0" style="31" hidden="1" customWidth="1"/>
    <col min="3329" max="3329" width="18.28515625" style="31" customWidth="1"/>
    <col min="3330" max="3330" width="64.85546875" style="31" customWidth="1"/>
    <col min="3331" max="3334" width="9.140625" style="31"/>
    <col min="3335" max="3335" width="14.85546875" style="31" customWidth="1"/>
    <col min="3336" max="3579" width="9.140625" style="31"/>
    <col min="3580" max="3580" width="37.7109375" style="31" customWidth="1"/>
    <col min="3581" max="3581" width="9.140625" style="31"/>
    <col min="3582" max="3582" width="12.85546875" style="31" customWidth="1"/>
    <col min="3583" max="3584" width="0" style="31" hidden="1" customWidth="1"/>
    <col min="3585" max="3585" width="18.28515625" style="31" customWidth="1"/>
    <col min="3586" max="3586" width="64.85546875" style="31" customWidth="1"/>
    <col min="3587" max="3590" width="9.140625" style="31"/>
    <col min="3591" max="3591" width="14.85546875" style="31" customWidth="1"/>
    <col min="3592" max="3835" width="9.140625" style="31"/>
    <col min="3836" max="3836" width="37.7109375" style="31" customWidth="1"/>
    <col min="3837" max="3837" width="9.140625" style="31"/>
    <col min="3838" max="3838" width="12.85546875" style="31" customWidth="1"/>
    <col min="3839" max="3840" width="0" style="31" hidden="1" customWidth="1"/>
    <col min="3841" max="3841" width="18.28515625" style="31" customWidth="1"/>
    <col min="3842" max="3842" width="64.85546875" style="31" customWidth="1"/>
    <col min="3843" max="3846" width="9.140625" style="31"/>
    <col min="3847" max="3847" width="14.85546875" style="31" customWidth="1"/>
    <col min="3848" max="4091" width="9.140625" style="31"/>
    <col min="4092" max="4092" width="37.7109375" style="31" customWidth="1"/>
    <col min="4093" max="4093" width="9.140625" style="31"/>
    <col min="4094" max="4094" width="12.85546875" style="31" customWidth="1"/>
    <col min="4095" max="4096" width="0" style="31" hidden="1" customWidth="1"/>
    <col min="4097" max="4097" width="18.28515625" style="31" customWidth="1"/>
    <col min="4098" max="4098" width="64.85546875" style="31" customWidth="1"/>
    <col min="4099" max="4102" width="9.140625" style="31"/>
    <col min="4103" max="4103" width="14.85546875" style="31" customWidth="1"/>
    <col min="4104" max="4347" width="9.140625" style="31"/>
    <col min="4348" max="4348" width="37.7109375" style="31" customWidth="1"/>
    <col min="4349" max="4349" width="9.140625" style="31"/>
    <col min="4350" max="4350" width="12.85546875" style="31" customWidth="1"/>
    <col min="4351" max="4352" width="0" style="31" hidden="1" customWidth="1"/>
    <col min="4353" max="4353" width="18.28515625" style="31" customWidth="1"/>
    <col min="4354" max="4354" width="64.85546875" style="31" customWidth="1"/>
    <col min="4355" max="4358" width="9.140625" style="31"/>
    <col min="4359" max="4359" width="14.85546875" style="31" customWidth="1"/>
    <col min="4360" max="4603" width="9.140625" style="31"/>
    <col min="4604" max="4604" width="37.7109375" style="31" customWidth="1"/>
    <col min="4605" max="4605" width="9.140625" style="31"/>
    <col min="4606" max="4606" width="12.85546875" style="31" customWidth="1"/>
    <col min="4607" max="4608" width="0" style="31" hidden="1" customWidth="1"/>
    <col min="4609" max="4609" width="18.28515625" style="31" customWidth="1"/>
    <col min="4610" max="4610" width="64.85546875" style="31" customWidth="1"/>
    <col min="4611" max="4614" width="9.140625" style="31"/>
    <col min="4615" max="4615" width="14.85546875" style="31" customWidth="1"/>
    <col min="4616" max="4859" width="9.140625" style="31"/>
    <col min="4860" max="4860" width="37.7109375" style="31" customWidth="1"/>
    <col min="4861" max="4861" width="9.140625" style="31"/>
    <col min="4862" max="4862" width="12.85546875" style="31" customWidth="1"/>
    <col min="4863" max="4864" width="0" style="31" hidden="1" customWidth="1"/>
    <col min="4865" max="4865" width="18.28515625" style="31" customWidth="1"/>
    <col min="4866" max="4866" width="64.85546875" style="31" customWidth="1"/>
    <col min="4867" max="4870" width="9.140625" style="31"/>
    <col min="4871" max="4871" width="14.85546875" style="31" customWidth="1"/>
    <col min="4872" max="5115" width="9.140625" style="31"/>
    <col min="5116" max="5116" width="37.7109375" style="31" customWidth="1"/>
    <col min="5117" max="5117" width="9.140625" style="31"/>
    <col min="5118" max="5118" width="12.85546875" style="31" customWidth="1"/>
    <col min="5119" max="5120" width="0" style="31" hidden="1" customWidth="1"/>
    <col min="5121" max="5121" width="18.28515625" style="31" customWidth="1"/>
    <col min="5122" max="5122" width="64.85546875" style="31" customWidth="1"/>
    <col min="5123" max="5126" width="9.140625" style="31"/>
    <col min="5127" max="5127" width="14.85546875" style="31" customWidth="1"/>
    <col min="5128" max="5371" width="9.140625" style="31"/>
    <col min="5372" max="5372" width="37.7109375" style="31" customWidth="1"/>
    <col min="5373" max="5373" width="9.140625" style="31"/>
    <col min="5374" max="5374" width="12.85546875" style="31" customWidth="1"/>
    <col min="5375" max="5376" width="0" style="31" hidden="1" customWidth="1"/>
    <col min="5377" max="5377" width="18.28515625" style="31" customWidth="1"/>
    <col min="5378" max="5378" width="64.85546875" style="31" customWidth="1"/>
    <col min="5379" max="5382" width="9.140625" style="31"/>
    <col min="5383" max="5383" width="14.85546875" style="31" customWidth="1"/>
    <col min="5384" max="5627" width="9.140625" style="31"/>
    <col min="5628" max="5628" width="37.7109375" style="31" customWidth="1"/>
    <col min="5629" max="5629" width="9.140625" style="31"/>
    <col min="5630" max="5630" width="12.85546875" style="31" customWidth="1"/>
    <col min="5631" max="5632" width="0" style="31" hidden="1" customWidth="1"/>
    <col min="5633" max="5633" width="18.28515625" style="31" customWidth="1"/>
    <col min="5634" max="5634" width="64.85546875" style="31" customWidth="1"/>
    <col min="5635" max="5638" width="9.140625" style="31"/>
    <col min="5639" max="5639" width="14.85546875" style="31" customWidth="1"/>
    <col min="5640" max="5883" width="9.140625" style="31"/>
    <col min="5884" max="5884" width="37.7109375" style="31" customWidth="1"/>
    <col min="5885" max="5885" width="9.140625" style="31"/>
    <col min="5886" max="5886" width="12.85546875" style="31" customWidth="1"/>
    <col min="5887" max="5888" width="0" style="31" hidden="1" customWidth="1"/>
    <col min="5889" max="5889" width="18.28515625" style="31" customWidth="1"/>
    <col min="5890" max="5890" width="64.85546875" style="31" customWidth="1"/>
    <col min="5891" max="5894" width="9.140625" style="31"/>
    <col min="5895" max="5895" width="14.85546875" style="31" customWidth="1"/>
    <col min="5896" max="6139" width="9.140625" style="31"/>
    <col min="6140" max="6140" width="37.7109375" style="31" customWidth="1"/>
    <col min="6141" max="6141" width="9.140625" style="31"/>
    <col min="6142" max="6142" width="12.85546875" style="31" customWidth="1"/>
    <col min="6143" max="6144" width="0" style="31" hidden="1" customWidth="1"/>
    <col min="6145" max="6145" width="18.28515625" style="31" customWidth="1"/>
    <col min="6146" max="6146" width="64.85546875" style="31" customWidth="1"/>
    <col min="6147" max="6150" width="9.140625" style="31"/>
    <col min="6151" max="6151" width="14.85546875" style="31" customWidth="1"/>
    <col min="6152" max="6395" width="9.140625" style="31"/>
    <col min="6396" max="6396" width="37.7109375" style="31" customWidth="1"/>
    <col min="6397" max="6397" width="9.140625" style="31"/>
    <col min="6398" max="6398" width="12.85546875" style="31" customWidth="1"/>
    <col min="6399" max="6400" width="0" style="31" hidden="1" customWidth="1"/>
    <col min="6401" max="6401" width="18.28515625" style="31" customWidth="1"/>
    <col min="6402" max="6402" width="64.85546875" style="31" customWidth="1"/>
    <col min="6403" max="6406" width="9.140625" style="31"/>
    <col min="6407" max="6407" width="14.85546875" style="31" customWidth="1"/>
    <col min="6408" max="6651" width="9.140625" style="31"/>
    <col min="6652" max="6652" width="37.7109375" style="31" customWidth="1"/>
    <col min="6653" max="6653" width="9.140625" style="31"/>
    <col min="6654" max="6654" width="12.85546875" style="31" customWidth="1"/>
    <col min="6655" max="6656" width="0" style="31" hidden="1" customWidth="1"/>
    <col min="6657" max="6657" width="18.28515625" style="31" customWidth="1"/>
    <col min="6658" max="6658" width="64.85546875" style="31" customWidth="1"/>
    <col min="6659" max="6662" width="9.140625" style="31"/>
    <col min="6663" max="6663" width="14.85546875" style="31" customWidth="1"/>
    <col min="6664" max="6907" width="9.140625" style="31"/>
    <col min="6908" max="6908" width="37.7109375" style="31" customWidth="1"/>
    <col min="6909" max="6909" width="9.140625" style="31"/>
    <col min="6910" max="6910" width="12.85546875" style="31" customWidth="1"/>
    <col min="6911" max="6912" width="0" style="31" hidden="1" customWidth="1"/>
    <col min="6913" max="6913" width="18.28515625" style="31" customWidth="1"/>
    <col min="6914" max="6914" width="64.85546875" style="31" customWidth="1"/>
    <col min="6915" max="6918" width="9.140625" style="31"/>
    <col min="6919" max="6919" width="14.85546875" style="31" customWidth="1"/>
    <col min="6920" max="7163" width="9.140625" style="31"/>
    <col min="7164" max="7164" width="37.7109375" style="31" customWidth="1"/>
    <col min="7165" max="7165" width="9.140625" style="31"/>
    <col min="7166" max="7166" width="12.85546875" style="31" customWidth="1"/>
    <col min="7167" max="7168" width="0" style="31" hidden="1" customWidth="1"/>
    <col min="7169" max="7169" width="18.28515625" style="31" customWidth="1"/>
    <col min="7170" max="7170" width="64.85546875" style="31" customWidth="1"/>
    <col min="7171" max="7174" width="9.140625" style="31"/>
    <col min="7175" max="7175" width="14.85546875" style="31" customWidth="1"/>
    <col min="7176" max="7419" width="9.140625" style="31"/>
    <col min="7420" max="7420" width="37.7109375" style="31" customWidth="1"/>
    <col min="7421" max="7421" width="9.140625" style="31"/>
    <col min="7422" max="7422" width="12.85546875" style="31" customWidth="1"/>
    <col min="7423" max="7424" width="0" style="31" hidden="1" customWidth="1"/>
    <col min="7425" max="7425" width="18.28515625" style="31" customWidth="1"/>
    <col min="7426" max="7426" width="64.85546875" style="31" customWidth="1"/>
    <col min="7427" max="7430" width="9.140625" style="31"/>
    <col min="7431" max="7431" width="14.85546875" style="31" customWidth="1"/>
    <col min="7432" max="7675" width="9.140625" style="31"/>
    <col min="7676" max="7676" width="37.7109375" style="31" customWidth="1"/>
    <col min="7677" max="7677" width="9.140625" style="31"/>
    <col min="7678" max="7678" width="12.85546875" style="31" customWidth="1"/>
    <col min="7679" max="7680" width="0" style="31" hidden="1" customWidth="1"/>
    <col min="7681" max="7681" width="18.28515625" style="31" customWidth="1"/>
    <col min="7682" max="7682" width="64.85546875" style="31" customWidth="1"/>
    <col min="7683" max="7686" width="9.140625" style="31"/>
    <col min="7687" max="7687" width="14.85546875" style="31" customWidth="1"/>
    <col min="7688" max="7931" width="9.140625" style="31"/>
    <col min="7932" max="7932" width="37.7109375" style="31" customWidth="1"/>
    <col min="7933" max="7933" width="9.140625" style="31"/>
    <col min="7934" max="7934" width="12.85546875" style="31" customWidth="1"/>
    <col min="7935" max="7936" width="0" style="31" hidden="1" customWidth="1"/>
    <col min="7937" max="7937" width="18.28515625" style="31" customWidth="1"/>
    <col min="7938" max="7938" width="64.85546875" style="31" customWidth="1"/>
    <col min="7939" max="7942" width="9.140625" style="31"/>
    <col min="7943" max="7943" width="14.85546875" style="31" customWidth="1"/>
    <col min="7944" max="8187" width="9.140625" style="31"/>
    <col min="8188" max="8188" width="37.7109375" style="31" customWidth="1"/>
    <col min="8189" max="8189" width="9.140625" style="31"/>
    <col min="8190" max="8190" width="12.85546875" style="31" customWidth="1"/>
    <col min="8191" max="8192" width="0" style="31" hidden="1" customWidth="1"/>
    <col min="8193" max="8193" width="18.28515625" style="31" customWidth="1"/>
    <col min="8194" max="8194" width="64.85546875" style="31" customWidth="1"/>
    <col min="8195" max="8198" width="9.140625" style="31"/>
    <col min="8199" max="8199" width="14.85546875" style="31" customWidth="1"/>
    <col min="8200" max="8443" width="9.140625" style="31"/>
    <col min="8444" max="8444" width="37.7109375" style="31" customWidth="1"/>
    <col min="8445" max="8445" width="9.140625" style="31"/>
    <col min="8446" max="8446" width="12.85546875" style="31" customWidth="1"/>
    <col min="8447" max="8448" width="0" style="31" hidden="1" customWidth="1"/>
    <col min="8449" max="8449" width="18.28515625" style="31" customWidth="1"/>
    <col min="8450" max="8450" width="64.85546875" style="31" customWidth="1"/>
    <col min="8451" max="8454" width="9.140625" style="31"/>
    <col min="8455" max="8455" width="14.85546875" style="31" customWidth="1"/>
    <col min="8456" max="8699" width="9.140625" style="31"/>
    <col min="8700" max="8700" width="37.7109375" style="31" customWidth="1"/>
    <col min="8701" max="8701" width="9.140625" style="31"/>
    <col min="8702" max="8702" width="12.85546875" style="31" customWidth="1"/>
    <col min="8703" max="8704" width="0" style="31" hidden="1" customWidth="1"/>
    <col min="8705" max="8705" width="18.28515625" style="31" customWidth="1"/>
    <col min="8706" max="8706" width="64.85546875" style="31" customWidth="1"/>
    <col min="8707" max="8710" width="9.140625" style="31"/>
    <col min="8711" max="8711" width="14.85546875" style="31" customWidth="1"/>
    <col min="8712" max="8955" width="9.140625" style="31"/>
    <col min="8956" max="8956" width="37.7109375" style="31" customWidth="1"/>
    <col min="8957" max="8957" width="9.140625" style="31"/>
    <col min="8958" max="8958" width="12.85546875" style="31" customWidth="1"/>
    <col min="8959" max="8960" width="0" style="31" hidden="1" customWidth="1"/>
    <col min="8961" max="8961" width="18.28515625" style="31" customWidth="1"/>
    <col min="8962" max="8962" width="64.85546875" style="31" customWidth="1"/>
    <col min="8963" max="8966" width="9.140625" style="31"/>
    <col min="8967" max="8967" width="14.85546875" style="31" customWidth="1"/>
    <col min="8968" max="9211" width="9.140625" style="31"/>
    <col min="9212" max="9212" width="37.7109375" style="31" customWidth="1"/>
    <col min="9213" max="9213" width="9.140625" style="31"/>
    <col min="9214" max="9214" width="12.85546875" style="31" customWidth="1"/>
    <col min="9215" max="9216" width="0" style="31" hidden="1" customWidth="1"/>
    <col min="9217" max="9217" width="18.28515625" style="31" customWidth="1"/>
    <col min="9218" max="9218" width="64.85546875" style="31" customWidth="1"/>
    <col min="9219" max="9222" width="9.140625" style="31"/>
    <col min="9223" max="9223" width="14.85546875" style="31" customWidth="1"/>
    <col min="9224" max="9467" width="9.140625" style="31"/>
    <col min="9468" max="9468" width="37.7109375" style="31" customWidth="1"/>
    <col min="9469" max="9469" width="9.140625" style="31"/>
    <col min="9470" max="9470" width="12.85546875" style="31" customWidth="1"/>
    <col min="9471" max="9472" width="0" style="31" hidden="1" customWidth="1"/>
    <col min="9473" max="9473" width="18.28515625" style="31" customWidth="1"/>
    <col min="9474" max="9474" width="64.85546875" style="31" customWidth="1"/>
    <col min="9475" max="9478" width="9.140625" style="31"/>
    <col min="9479" max="9479" width="14.85546875" style="31" customWidth="1"/>
    <col min="9480" max="9723" width="9.140625" style="31"/>
    <col min="9724" max="9724" width="37.7109375" style="31" customWidth="1"/>
    <col min="9725" max="9725" width="9.140625" style="31"/>
    <col min="9726" max="9726" width="12.85546875" style="31" customWidth="1"/>
    <col min="9727" max="9728" width="0" style="31" hidden="1" customWidth="1"/>
    <col min="9729" max="9729" width="18.28515625" style="31" customWidth="1"/>
    <col min="9730" max="9730" width="64.85546875" style="31" customWidth="1"/>
    <col min="9731" max="9734" width="9.140625" style="31"/>
    <col min="9735" max="9735" width="14.85546875" style="31" customWidth="1"/>
    <col min="9736" max="9979" width="9.140625" style="31"/>
    <col min="9980" max="9980" width="37.7109375" style="31" customWidth="1"/>
    <col min="9981" max="9981" width="9.140625" style="31"/>
    <col min="9982" max="9982" width="12.85546875" style="31" customWidth="1"/>
    <col min="9983" max="9984" width="0" style="31" hidden="1" customWidth="1"/>
    <col min="9985" max="9985" width="18.28515625" style="31" customWidth="1"/>
    <col min="9986" max="9986" width="64.85546875" style="31" customWidth="1"/>
    <col min="9987" max="9990" width="9.140625" style="31"/>
    <col min="9991" max="9991" width="14.85546875" style="31" customWidth="1"/>
    <col min="9992" max="10235" width="9.140625" style="31"/>
    <col min="10236" max="10236" width="37.7109375" style="31" customWidth="1"/>
    <col min="10237" max="10237" width="9.140625" style="31"/>
    <col min="10238" max="10238" width="12.85546875" style="31" customWidth="1"/>
    <col min="10239" max="10240" width="0" style="31" hidden="1" customWidth="1"/>
    <col min="10241" max="10241" width="18.28515625" style="31" customWidth="1"/>
    <col min="10242" max="10242" width="64.85546875" style="31" customWidth="1"/>
    <col min="10243" max="10246" width="9.140625" style="31"/>
    <col min="10247" max="10247" width="14.85546875" style="31" customWidth="1"/>
    <col min="10248" max="10491" width="9.140625" style="31"/>
    <col min="10492" max="10492" width="37.7109375" style="31" customWidth="1"/>
    <col min="10493" max="10493" width="9.140625" style="31"/>
    <col min="10494" max="10494" width="12.85546875" style="31" customWidth="1"/>
    <col min="10495" max="10496" width="0" style="31" hidden="1" customWidth="1"/>
    <col min="10497" max="10497" width="18.28515625" style="31" customWidth="1"/>
    <col min="10498" max="10498" width="64.85546875" style="31" customWidth="1"/>
    <col min="10499" max="10502" width="9.140625" style="31"/>
    <col min="10503" max="10503" width="14.85546875" style="31" customWidth="1"/>
    <col min="10504" max="10747" width="9.140625" style="31"/>
    <col min="10748" max="10748" width="37.7109375" style="31" customWidth="1"/>
    <col min="10749" max="10749" width="9.140625" style="31"/>
    <col min="10750" max="10750" width="12.85546875" style="31" customWidth="1"/>
    <col min="10751" max="10752" width="0" style="31" hidden="1" customWidth="1"/>
    <col min="10753" max="10753" width="18.28515625" style="31" customWidth="1"/>
    <col min="10754" max="10754" width="64.85546875" style="31" customWidth="1"/>
    <col min="10755" max="10758" width="9.140625" style="31"/>
    <col min="10759" max="10759" width="14.85546875" style="31" customWidth="1"/>
    <col min="10760" max="11003" width="9.140625" style="31"/>
    <col min="11004" max="11004" width="37.7109375" style="31" customWidth="1"/>
    <col min="11005" max="11005" width="9.140625" style="31"/>
    <col min="11006" max="11006" width="12.85546875" style="31" customWidth="1"/>
    <col min="11007" max="11008" width="0" style="31" hidden="1" customWidth="1"/>
    <col min="11009" max="11009" width="18.28515625" style="31" customWidth="1"/>
    <col min="11010" max="11010" width="64.85546875" style="31" customWidth="1"/>
    <col min="11011" max="11014" width="9.140625" style="31"/>
    <col min="11015" max="11015" width="14.85546875" style="31" customWidth="1"/>
    <col min="11016" max="11259" width="9.140625" style="31"/>
    <col min="11260" max="11260" width="37.7109375" style="31" customWidth="1"/>
    <col min="11261" max="11261" width="9.140625" style="31"/>
    <col min="11262" max="11262" width="12.85546875" style="31" customWidth="1"/>
    <col min="11263" max="11264" width="0" style="31" hidden="1" customWidth="1"/>
    <col min="11265" max="11265" width="18.28515625" style="31" customWidth="1"/>
    <col min="11266" max="11266" width="64.85546875" style="31" customWidth="1"/>
    <col min="11267" max="11270" width="9.140625" style="31"/>
    <col min="11271" max="11271" width="14.85546875" style="31" customWidth="1"/>
    <col min="11272" max="11515" width="9.140625" style="31"/>
    <col min="11516" max="11516" width="37.7109375" style="31" customWidth="1"/>
    <col min="11517" max="11517" width="9.140625" style="31"/>
    <col min="11518" max="11518" width="12.85546875" style="31" customWidth="1"/>
    <col min="11519" max="11520" width="0" style="31" hidden="1" customWidth="1"/>
    <col min="11521" max="11521" width="18.28515625" style="31" customWidth="1"/>
    <col min="11522" max="11522" width="64.85546875" style="31" customWidth="1"/>
    <col min="11523" max="11526" width="9.140625" style="31"/>
    <col min="11527" max="11527" width="14.85546875" style="31" customWidth="1"/>
    <col min="11528" max="11771" width="9.140625" style="31"/>
    <col min="11772" max="11772" width="37.7109375" style="31" customWidth="1"/>
    <col min="11773" max="11773" width="9.140625" style="31"/>
    <col min="11774" max="11774" width="12.85546875" style="31" customWidth="1"/>
    <col min="11775" max="11776" width="0" style="31" hidden="1" customWidth="1"/>
    <col min="11777" max="11777" width="18.28515625" style="31" customWidth="1"/>
    <col min="11778" max="11778" width="64.85546875" style="31" customWidth="1"/>
    <col min="11779" max="11782" width="9.140625" style="31"/>
    <col min="11783" max="11783" width="14.85546875" style="31" customWidth="1"/>
    <col min="11784" max="12027" width="9.140625" style="31"/>
    <col min="12028" max="12028" width="37.7109375" style="31" customWidth="1"/>
    <col min="12029" max="12029" width="9.140625" style="31"/>
    <col min="12030" max="12030" width="12.85546875" style="31" customWidth="1"/>
    <col min="12031" max="12032" width="0" style="31" hidden="1" customWidth="1"/>
    <col min="12033" max="12033" width="18.28515625" style="31" customWidth="1"/>
    <col min="12034" max="12034" width="64.85546875" style="31" customWidth="1"/>
    <col min="12035" max="12038" width="9.140625" style="31"/>
    <col min="12039" max="12039" width="14.85546875" style="31" customWidth="1"/>
    <col min="12040" max="12283" width="9.140625" style="31"/>
    <col min="12284" max="12284" width="37.7109375" style="31" customWidth="1"/>
    <col min="12285" max="12285" width="9.140625" style="31"/>
    <col min="12286" max="12286" width="12.85546875" style="31" customWidth="1"/>
    <col min="12287" max="12288" width="0" style="31" hidden="1" customWidth="1"/>
    <col min="12289" max="12289" width="18.28515625" style="31" customWidth="1"/>
    <col min="12290" max="12290" width="64.85546875" style="31" customWidth="1"/>
    <col min="12291" max="12294" width="9.140625" style="31"/>
    <col min="12295" max="12295" width="14.85546875" style="31" customWidth="1"/>
    <col min="12296" max="12539" width="9.140625" style="31"/>
    <col min="12540" max="12540" width="37.7109375" style="31" customWidth="1"/>
    <col min="12541" max="12541" width="9.140625" style="31"/>
    <col min="12542" max="12542" width="12.85546875" style="31" customWidth="1"/>
    <col min="12543" max="12544" width="0" style="31" hidden="1" customWidth="1"/>
    <col min="12545" max="12545" width="18.28515625" style="31" customWidth="1"/>
    <col min="12546" max="12546" width="64.85546875" style="31" customWidth="1"/>
    <col min="12547" max="12550" width="9.140625" style="31"/>
    <col min="12551" max="12551" width="14.85546875" style="31" customWidth="1"/>
    <col min="12552" max="12795" width="9.140625" style="31"/>
    <col min="12796" max="12796" width="37.7109375" style="31" customWidth="1"/>
    <col min="12797" max="12797" width="9.140625" style="31"/>
    <col min="12798" max="12798" width="12.85546875" style="31" customWidth="1"/>
    <col min="12799" max="12800" width="0" style="31" hidden="1" customWidth="1"/>
    <col min="12801" max="12801" width="18.28515625" style="31" customWidth="1"/>
    <col min="12802" max="12802" width="64.85546875" style="31" customWidth="1"/>
    <col min="12803" max="12806" width="9.140625" style="31"/>
    <col min="12807" max="12807" width="14.85546875" style="31" customWidth="1"/>
    <col min="12808" max="13051" width="9.140625" style="31"/>
    <col min="13052" max="13052" width="37.7109375" style="31" customWidth="1"/>
    <col min="13053" max="13053" width="9.140625" style="31"/>
    <col min="13054" max="13054" width="12.85546875" style="31" customWidth="1"/>
    <col min="13055" max="13056" width="0" style="31" hidden="1" customWidth="1"/>
    <col min="13057" max="13057" width="18.28515625" style="31" customWidth="1"/>
    <col min="13058" max="13058" width="64.85546875" style="31" customWidth="1"/>
    <col min="13059" max="13062" width="9.140625" style="31"/>
    <col min="13063" max="13063" width="14.85546875" style="31" customWidth="1"/>
    <col min="13064" max="13307" width="9.140625" style="31"/>
    <col min="13308" max="13308" width="37.7109375" style="31" customWidth="1"/>
    <col min="13309" max="13309" width="9.140625" style="31"/>
    <col min="13310" max="13310" width="12.85546875" style="31" customWidth="1"/>
    <col min="13311" max="13312" width="0" style="31" hidden="1" customWidth="1"/>
    <col min="13313" max="13313" width="18.28515625" style="31" customWidth="1"/>
    <col min="13314" max="13314" width="64.85546875" style="31" customWidth="1"/>
    <col min="13315" max="13318" width="9.140625" style="31"/>
    <col min="13319" max="13319" width="14.85546875" style="31" customWidth="1"/>
    <col min="13320" max="13563" width="9.140625" style="31"/>
    <col min="13564" max="13564" width="37.7109375" style="31" customWidth="1"/>
    <col min="13565" max="13565" width="9.140625" style="31"/>
    <col min="13566" max="13566" width="12.85546875" style="31" customWidth="1"/>
    <col min="13567" max="13568" width="0" style="31" hidden="1" customWidth="1"/>
    <col min="13569" max="13569" width="18.28515625" style="31" customWidth="1"/>
    <col min="13570" max="13570" width="64.85546875" style="31" customWidth="1"/>
    <col min="13571" max="13574" width="9.140625" style="31"/>
    <col min="13575" max="13575" width="14.85546875" style="31" customWidth="1"/>
    <col min="13576" max="13819" width="9.140625" style="31"/>
    <col min="13820" max="13820" width="37.7109375" style="31" customWidth="1"/>
    <col min="13821" max="13821" width="9.140625" style="31"/>
    <col min="13822" max="13822" width="12.85546875" style="31" customWidth="1"/>
    <col min="13823" max="13824" width="0" style="31" hidden="1" customWidth="1"/>
    <col min="13825" max="13825" width="18.28515625" style="31" customWidth="1"/>
    <col min="13826" max="13826" width="64.85546875" style="31" customWidth="1"/>
    <col min="13827" max="13830" width="9.140625" style="31"/>
    <col min="13831" max="13831" width="14.85546875" style="31" customWidth="1"/>
    <col min="13832" max="14075" width="9.140625" style="31"/>
    <col min="14076" max="14076" width="37.7109375" style="31" customWidth="1"/>
    <col min="14077" max="14077" width="9.140625" style="31"/>
    <col min="14078" max="14078" width="12.85546875" style="31" customWidth="1"/>
    <col min="14079" max="14080" width="0" style="31" hidden="1" customWidth="1"/>
    <col min="14081" max="14081" width="18.28515625" style="31" customWidth="1"/>
    <col min="14082" max="14082" width="64.85546875" style="31" customWidth="1"/>
    <col min="14083" max="14086" width="9.140625" style="31"/>
    <col min="14087" max="14087" width="14.85546875" style="31" customWidth="1"/>
    <col min="14088" max="14331" width="9.140625" style="31"/>
    <col min="14332" max="14332" width="37.7109375" style="31" customWidth="1"/>
    <col min="14333" max="14333" width="9.140625" style="31"/>
    <col min="14334" max="14334" width="12.85546875" style="31" customWidth="1"/>
    <col min="14335" max="14336" width="0" style="31" hidden="1" customWidth="1"/>
    <col min="14337" max="14337" width="18.28515625" style="31" customWidth="1"/>
    <col min="14338" max="14338" width="64.85546875" style="31" customWidth="1"/>
    <col min="14339" max="14342" width="9.140625" style="31"/>
    <col min="14343" max="14343" width="14.85546875" style="31" customWidth="1"/>
    <col min="14344" max="14587" width="9.140625" style="31"/>
    <col min="14588" max="14588" width="37.7109375" style="31" customWidth="1"/>
    <col min="14589" max="14589" width="9.140625" style="31"/>
    <col min="14590" max="14590" width="12.85546875" style="31" customWidth="1"/>
    <col min="14591" max="14592" width="0" style="31" hidden="1" customWidth="1"/>
    <col min="14593" max="14593" width="18.28515625" style="31" customWidth="1"/>
    <col min="14594" max="14594" width="64.85546875" style="31" customWidth="1"/>
    <col min="14595" max="14598" width="9.140625" style="31"/>
    <col min="14599" max="14599" width="14.85546875" style="31" customWidth="1"/>
    <col min="14600" max="14843" width="9.140625" style="31"/>
    <col min="14844" max="14844" width="37.7109375" style="31" customWidth="1"/>
    <col min="14845" max="14845" width="9.140625" style="31"/>
    <col min="14846" max="14846" width="12.85546875" style="31" customWidth="1"/>
    <col min="14847" max="14848" width="0" style="31" hidden="1" customWidth="1"/>
    <col min="14849" max="14849" width="18.28515625" style="31" customWidth="1"/>
    <col min="14850" max="14850" width="64.85546875" style="31" customWidth="1"/>
    <col min="14851" max="14854" width="9.140625" style="31"/>
    <col min="14855" max="14855" width="14.85546875" style="31" customWidth="1"/>
    <col min="14856" max="15099" width="9.140625" style="31"/>
    <col min="15100" max="15100" width="37.7109375" style="31" customWidth="1"/>
    <col min="15101" max="15101" width="9.140625" style="31"/>
    <col min="15102" max="15102" width="12.85546875" style="31" customWidth="1"/>
    <col min="15103" max="15104" width="0" style="31" hidden="1" customWidth="1"/>
    <col min="15105" max="15105" width="18.28515625" style="31" customWidth="1"/>
    <col min="15106" max="15106" width="64.85546875" style="31" customWidth="1"/>
    <col min="15107" max="15110" width="9.140625" style="31"/>
    <col min="15111" max="15111" width="14.85546875" style="31" customWidth="1"/>
    <col min="15112" max="15355" width="9.140625" style="31"/>
    <col min="15356" max="15356" width="37.7109375" style="31" customWidth="1"/>
    <col min="15357" max="15357" width="9.140625" style="31"/>
    <col min="15358" max="15358" width="12.85546875" style="31" customWidth="1"/>
    <col min="15359" max="15360" width="0" style="31" hidden="1" customWidth="1"/>
    <col min="15361" max="15361" width="18.28515625" style="31" customWidth="1"/>
    <col min="15362" max="15362" width="64.85546875" style="31" customWidth="1"/>
    <col min="15363" max="15366" width="9.140625" style="31"/>
    <col min="15367" max="15367" width="14.85546875" style="31" customWidth="1"/>
    <col min="15368" max="15611" width="9.140625" style="31"/>
    <col min="15612" max="15612" width="37.7109375" style="31" customWidth="1"/>
    <col min="15613" max="15613" width="9.140625" style="31"/>
    <col min="15614" max="15614" width="12.85546875" style="31" customWidth="1"/>
    <col min="15615" max="15616" width="0" style="31" hidden="1" customWidth="1"/>
    <col min="15617" max="15617" width="18.28515625" style="31" customWidth="1"/>
    <col min="15618" max="15618" width="64.85546875" style="31" customWidth="1"/>
    <col min="15619" max="15622" width="9.140625" style="31"/>
    <col min="15623" max="15623" width="14.85546875" style="31" customWidth="1"/>
    <col min="15624" max="15867" width="9.140625" style="31"/>
    <col min="15868" max="15868" width="37.7109375" style="31" customWidth="1"/>
    <col min="15869" max="15869" width="9.140625" style="31"/>
    <col min="15870" max="15870" width="12.85546875" style="31" customWidth="1"/>
    <col min="15871" max="15872" width="0" style="31" hidden="1" customWidth="1"/>
    <col min="15873" max="15873" width="18.28515625" style="31" customWidth="1"/>
    <col min="15874" max="15874" width="64.85546875" style="31" customWidth="1"/>
    <col min="15875" max="15878" width="9.140625" style="31"/>
    <col min="15879" max="15879" width="14.85546875" style="31" customWidth="1"/>
    <col min="15880" max="16123" width="9.140625" style="31"/>
    <col min="16124" max="16124" width="37.7109375" style="31" customWidth="1"/>
    <col min="16125" max="16125" width="9.140625" style="31"/>
    <col min="16126" max="16126" width="12.85546875" style="31" customWidth="1"/>
    <col min="16127" max="16128" width="0" style="31" hidden="1" customWidth="1"/>
    <col min="16129" max="16129" width="18.28515625" style="31" customWidth="1"/>
    <col min="16130" max="16130" width="64.85546875" style="31" customWidth="1"/>
    <col min="16131" max="16134" width="9.140625" style="31"/>
    <col min="16135" max="16135" width="14.85546875" style="31" customWidth="1"/>
    <col min="16136" max="16384" width="9.140625" style="31"/>
  </cols>
  <sheetData>
    <row r="1" spans="1:43" ht="18.75" x14ac:dyDescent="0.25">
      <c r="K1" s="20" t="s">
        <v>66</v>
      </c>
    </row>
    <row r="2" spans="1:43" ht="18.75" x14ac:dyDescent="0.3">
      <c r="K2" s="11" t="s">
        <v>8</v>
      </c>
    </row>
    <row r="3" spans="1:43" ht="18.75" x14ac:dyDescent="0.3">
      <c r="K3" s="11" t="s">
        <v>65</v>
      </c>
    </row>
    <row r="4" spans="1:43" ht="18.75" x14ac:dyDescent="0.3">
      <c r="K4" s="11"/>
    </row>
    <row r="5" spans="1:43" x14ac:dyDescent="0.25">
      <c r="A5" s="331" t="str">
        <f>'1. паспорт местоположение'!A5:C5</f>
        <v>Год раскрытия информации: 2024 год</v>
      </c>
      <c r="B5" s="331"/>
      <c r="C5" s="331"/>
      <c r="D5" s="331"/>
      <c r="E5" s="331"/>
      <c r="F5" s="331"/>
      <c r="G5" s="331"/>
      <c r="H5" s="331"/>
      <c r="I5" s="331"/>
      <c r="J5" s="331"/>
      <c r="K5" s="331"/>
      <c r="L5" s="83"/>
      <c r="M5" s="83"/>
      <c r="N5" s="83"/>
      <c r="O5" s="83"/>
      <c r="P5" s="83"/>
      <c r="Q5" s="83"/>
      <c r="R5" s="83"/>
      <c r="S5" s="83"/>
      <c r="T5" s="83"/>
      <c r="U5" s="83"/>
      <c r="V5" s="83"/>
      <c r="W5" s="83"/>
      <c r="X5" s="83"/>
      <c r="Y5" s="83"/>
      <c r="Z5" s="83"/>
      <c r="AA5" s="83"/>
      <c r="AB5" s="83"/>
      <c r="AC5" s="83"/>
      <c r="AD5" s="83"/>
      <c r="AE5" s="83"/>
      <c r="AF5" s="83"/>
      <c r="AG5" s="83"/>
      <c r="AH5" s="83"/>
      <c r="AI5" s="83"/>
      <c r="AJ5" s="83"/>
      <c r="AK5" s="83"/>
      <c r="AL5" s="83"/>
      <c r="AM5" s="83"/>
      <c r="AN5" s="83"/>
      <c r="AO5" s="83"/>
      <c r="AP5" s="83"/>
      <c r="AQ5" s="83"/>
    </row>
    <row r="6" spans="1:43" ht="18.75" x14ac:dyDescent="0.3">
      <c r="K6" s="11"/>
    </row>
    <row r="7" spans="1:43" ht="18.75" x14ac:dyDescent="0.25">
      <c r="A7" s="340" t="s">
        <v>7</v>
      </c>
      <c r="B7" s="340"/>
      <c r="C7" s="340"/>
      <c r="D7" s="340"/>
      <c r="E7" s="340"/>
      <c r="F7" s="340"/>
      <c r="G7" s="340"/>
      <c r="H7" s="340"/>
      <c r="I7" s="340"/>
      <c r="J7" s="340"/>
      <c r="K7" s="340"/>
    </row>
    <row r="8" spans="1:43" ht="18.75" x14ac:dyDescent="0.25">
      <c r="A8" s="340"/>
      <c r="B8" s="340"/>
      <c r="C8" s="340"/>
      <c r="D8" s="340"/>
      <c r="E8" s="340"/>
      <c r="F8" s="340"/>
      <c r="G8" s="340"/>
      <c r="H8" s="340"/>
      <c r="I8" s="340"/>
      <c r="J8" s="340"/>
      <c r="K8" s="340"/>
    </row>
    <row r="9" spans="1:43" x14ac:dyDescent="0.25">
      <c r="A9" s="338" t="str">
        <f>'1. паспорт местоположение'!A9:C9</f>
        <v xml:space="preserve">Акционерное общество "Западная энергетическая компания" </v>
      </c>
      <c r="B9" s="338"/>
      <c r="C9" s="338"/>
      <c r="D9" s="338"/>
      <c r="E9" s="338"/>
      <c r="F9" s="338"/>
      <c r="G9" s="338"/>
      <c r="H9" s="338"/>
      <c r="I9" s="338"/>
      <c r="J9" s="338"/>
      <c r="K9" s="338"/>
    </row>
    <row r="10" spans="1:43" x14ac:dyDescent="0.25">
      <c r="A10" s="344" t="s">
        <v>6</v>
      </c>
      <c r="B10" s="344"/>
      <c r="C10" s="344"/>
      <c r="D10" s="344"/>
      <c r="E10" s="344"/>
      <c r="F10" s="344"/>
      <c r="G10" s="344"/>
      <c r="H10" s="344"/>
      <c r="I10" s="344"/>
      <c r="J10" s="344"/>
      <c r="K10" s="344"/>
    </row>
    <row r="11" spans="1:43" ht="18.75" x14ac:dyDescent="0.25">
      <c r="A11" s="340"/>
      <c r="B11" s="340"/>
      <c r="C11" s="340"/>
      <c r="D11" s="340"/>
      <c r="E11" s="340"/>
      <c r="F11" s="340"/>
      <c r="G11" s="340"/>
      <c r="H11" s="340"/>
      <c r="I11" s="340"/>
      <c r="J11" s="340"/>
      <c r="K11" s="340"/>
    </row>
    <row r="12" spans="1:43" x14ac:dyDescent="0.25">
      <c r="A12" s="338" t="str">
        <f>'1. паспорт местоположение'!A12:C12</f>
        <v>O 24-35</v>
      </c>
      <c r="B12" s="338"/>
      <c r="C12" s="338"/>
      <c r="D12" s="338"/>
      <c r="E12" s="338"/>
      <c r="F12" s="338"/>
      <c r="G12" s="338"/>
      <c r="H12" s="338"/>
      <c r="I12" s="338"/>
      <c r="J12" s="338"/>
      <c r="K12" s="338"/>
    </row>
    <row r="13" spans="1:43" x14ac:dyDescent="0.25">
      <c r="A13" s="344" t="s">
        <v>5</v>
      </c>
      <c r="B13" s="344"/>
      <c r="C13" s="344"/>
      <c r="D13" s="344"/>
      <c r="E13" s="344"/>
      <c r="F13" s="344"/>
      <c r="G13" s="344"/>
      <c r="H13" s="344"/>
      <c r="I13" s="344"/>
      <c r="J13" s="344"/>
      <c r="K13" s="344"/>
    </row>
    <row r="14" spans="1:43" ht="18.75" x14ac:dyDescent="0.25">
      <c r="A14" s="345"/>
      <c r="B14" s="345"/>
      <c r="C14" s="345"/>
      <c r="D14" s="345"/>
      <c r="E14" s="345"/>
      <c r="F14" s="345"/>
      <c r="G14" s="345"/>
      <c r="H14" s="345"/>
      <c r="I14" s="345"/>
      <c r="J14" s="345"/>
      <c r="K14" s="345"/>
    </row>
    <row r="15" spans="1:43" x14ac:dyDescent="0.25">
      <c r="A15" s="338" t="str">
        <f>'1. паспорт местоположение'!A15:C15</f>
        <v>Покупка объектов основных средств электросетевого хозяйства</v>
      </c>
      <c r="B15" s="338"/>
      <c r="C15" s="338"/>
      <c r="D15" s="338"/>
      <c r="E15" s="338"/>
      <c r="F15" s="338"/>
      <c r="G15" s="338"/>
      <c r="H15" s="338"/>
      <c r="I15" s="338"/>
      <c r="J15" s="338"/>
      <c r="K15" s="338"/>
    </row>
    <row r="16" spans="1:43" x14ac:dyDescent="0.25">
      <c r="A16" s="332" t="s">
        <v>4</v>
      </c>
      <c r="B16" s="332"/>
      <c r="C16" s="332"/>
      <c r="D16" s="332"/>
      <c r="E16" s="332"/>
      <c r="F16" s="332"/>
      <c r="G16" s="332"/>
      <c r="H16" s="332"/>
      <c r="I16" s="332"/>
      <c r="J16" s="332"/>
      <c r="K16" s="332"/>
    </row>
    <row r="17" spans="1:11" ht="15.75" customHeight="1" x14ac:dyDescent="0.25"/>
    <row r="18" spans="1:11" x14ac:dyDescent="0.25">
      <c r="K18" s="23"/>
    </row>
    <row r="19" spans="1:11" ht="15.75" customHeight="1" x14ac:dyDescent="0.25">
      <c r="A19" s="404" t="s">
        <v>392</v>
      </c>
      <c r="B19" s="404"/>
      <c r="C19" s="404"/>
      <c r="D19" s="404"/>
      <c r="E19" s="404"/>
      <c r="F19" s="404"/>
      <c r="G19" s="404"/>
      <c r="H19" s="404"/>
      <c r="I19" s="404"/>
      <c r="J19" s="404"/>
      <c r="K19" s="404"/>
    </row>
    <row r="20" spans="1:11" x14ac:dyDescent="0.25">
      <c r="A20" s="34"/>
      <c r="B20" s="34"/>
    </row>
    <row r="21" spans="1:11" ht="28.5" customHeight="1" x14ac:dyDescent="0.25">
      <c r="A21" s="399" t="s">
        <v>199</v>
      </c>
      <c r="B21" s="399" t="s">
        <v>485</v>
      </c>
      <c r="C21" s="399" t="s">
        <v>351</v>
      </c>
      <c r="D21" s="399"/>
      <c r="E21" s="399"/>
      <c r="F21" s="399"/>
      <c r="G21" s="399"/>
      <c r="H21" s="399"/>
      <c r="I21" s="399" t="s">
        <v>198</v>
      </c>
      <c r="J21" s="400" t="s">
        <v>352</v>
      </c>
      <c r="K21" s="399" t="s">
        <v>197</v>
      </c>
    </row>
    <row r="22" spans="1:11" ht="58.5" customHeight="1" x14ac:dyDescent="0.25">
      <c r="A22" s="399"/>
      <c r="B22" s="399"/>
      <c r="C22" s="403" t="s">
        <v>584</v>
      </c>
      <c r="D22" s="403"/>
      <c r="E22" s="403" t="s">
        <v>9</v>
      </c>
      <c r="F22" s="403"/>
      <c r="G22" s="403" t="s">
        <v>536</v>
      </c>
      <c r="H22" s="403"/>
      <c r="I22" s="399"/>
      <c r="J22" s="401"/>
      <c r="K22" s="399"/>
    </row>
    <row r="23" spans="1:11" ht="31.5" x14ac:dyDescent="0.25">
      <c r="A23" s="399"/>
      <c r="B23" s="399"/>
      <c r="C23" s="153" t="s">
        <v>196</v>
      </c>
      <c r="D23" s="153" t="s">
        <v>195</v>
      </c>
      <c r="E23" s="153" t="s">
        <v>196</v>
      </c>
      <c r="F23" s="153" t="s">
        <v>195</v>
      </c>
      <c r="G23" s="153" t="s">
        <v>196</v>
      </c>
      <c r="H23" s="153" t="s">
        <v>195</v>
      </c>
      <c r="I23" s="399"/>
      <c r="J23" s="402"/>
      <c r="K23" s="399"/>
    </row>
    <row r="24" spans="1:11" x14ac:dyDescent="0.25">
      <c r="A24" s="154">
        <v>1</v>
      </c>
      <c r="B24" s="154">
        <v>2</v>
      </c>
      <c r="C24" s="153">
        <v>3</v>
      </c>
      <c r="D24" s="153">
        <v>4</v>
      </c>
      <c r="E24" s="153">
        <v>5</v>
      </c>
      <c r="F24" s="153">
        <v>6</v>
      </c>
      <c r="G24" s="153">
        <v>7</v>
      </c>
      <c r="H24" s="153">
        <v>8</v>
      </c>
      <c r="I24" s="153">
        <v>9</v>
      </c>
      <c r="J24" s="153">
        <v>10</v>
      </c>
      <c r="K24" s="153">
        <v>11</v>
      </c>
    </row>
    <row r="25" spans="1:11" x14ac:dyDescent="0.25">
      <c r="A25" s="153">
        <v>1</v>
      </c>
      <c r="B25" s="158" t="s">
        <v>194</v>
      </c>
      <c r="C25" s="159"/>
      <c r="D25" s="159"/>
      <c r="E25" s="164"/>
      <c r="F25" s="164"/>
      <c r="G25" s="164"/>
      <c r="H25" s="164"/>
      <c r="I25" s="164"/>
      <c r="J25" s="149"/>
      <c r="K25" s="150"/>
    </row>
    <row r="26" spans="1:11" x14ac:dyDescent="0.25">
      <c r="A26" s="153" t="s">
        <v>486</v>
      </c>
      <c r="B26" s="162" t="s">
        <v>487</v>
      </c>
      <c r="C26" s="159"/>
      <c r="D26" s="159"/>
      <c r="E26" s="165">
        <v>42859</v>
      </c>
      <c r="F26" s="165">
        <v>42859</v>
      </c>
      <c r="G26" s="165"/>
      <c r="H26" s="165"/>
      <c r="I26" s="166"/>
      <c r="J26" s="149"/>
      <c r="K26" s="150"/>
    </row>
    <row r="27" spans="1:11" ht="31.5" x14ac:dyDescent="0.25">
      <c r="A27" s="153" t="s">
        <v>488</v>
      </c>
      <c r="B27" s="162" t="s">
        <v>489</v>
      </c>
      <c r="C27" s="159"/>
      <c r="D27" s="159"/>
      <c r="E27" s="165">
        <v>42807</v>
      </c>
      <c r="F27" s="165">
        <v>42807</v>
      </c>
      <c r="G27" s="165"/>
      <c r="H27" s="165"/>
      <c r="I27" s="166"/>
      <c r="J27" s="149"/>
      <c r="K27" s="150"/>
    </row>
    <row r="28" spans="1:11" ht="63" x14ac:dyDescent="0.25">
      <c r="A28" s="153" t="s">
        <v>491</v>
      </c>
      <c r="B28" s="162" t="s">
        <v>490</v>
      </c>
      <c r="C28" s="165" t="s">
        <v>436</v>
      </c>
      <c r="D28" s="165" t="s">
        <v>436</v>
      </c>
      <c r="E28" s="165" t="s">
        <v>436</v>
      </c>
      <c r="F28" s="165" t="s">
        <v>436</v>
      </c>
      <c r="G28" s="165"/>
      <c r="H28" s="165"/>
      <c r="I28" s="166"/>
      <c r="J28" s="149"/>
      <c r="K28" s="150"/>
    </row>
    <row r="29" spans="1:11" ht="31.5" x14ac:dyDescent="0.25">
      <c r="A29" s="153" t="s">
        <v>493</v>
      </c>
      <c r="B29" s="162" t="s">
        <v>492</v>
      </c>
      <c r="C29" s="165" t="s">
        <v>436</v>
      </c>
      <c r="D29" s="165" t="s">
        <v>436</v>
      </c>
      <c r="E29" s="165" t="s">
        <v>436</v>
      </c>
      <c r="F29" s="165" t="s">
        <v>436</v>
      </c>
      <c r="G29" s="165"/>
      <c r="H29" s="165"/>
      <c r="I29" s="166"/>
      <c r="J29" s="149"/>
      <c r="K29" s="150"/>
    </row>
    <row r="30" spans="1:11" ht="31.5" x14ac:dyDescent="0.25">
      <c r="A30" s="153" t="s">
        <v>495</v>
      </c>
      <c r="B30" s="162" t="s">
        <v>494</v>
      </c>
      <c r="C30" s="165" t="s">
        <v>436</v>
      </c>
      <c r="D30" s="165" t="s">
        <v>436</v>
      </c>
      <c r="E30" s="165" t="s">
        <v>436</v>
      </c>
      <c r="F30" s="165" t="s">
        <v>436</v>
      </c>
      <c r="G30" s="165"/>
      <c r="H30" s="165"/>
      <c r="I30" s="166"/>
      <c r="J30" s="149"/>
      <c r="K30" s="150"/>
    </row>
    <row r="31" spans="1:11" ht="31.5" x14ac:dyDescent="0.25">
      <c r="A31" s="153" t="s">
        <v>497</v>
      </c>
      <c r="B31" s="162" t="s">
        <v>496</v>
      </c>
      <c r="C31" s="165" t="s">
        <v>436</v>
      </c>
      <c r="D31" s="165" t="s">
        <v>436</v>
      </c>
      <c r="E31" s="165">
        <v>41806</v>
      </c>
      <c r="F31" s="165">
        <v>41806</v>
      </c>
      <c r="G31" s="165"/>
      <c r="H31" s="165"/>
      <c r="I31" s="166"/>
      <c r="J31" s="149"/>
      <c r="K31" s="150"/>
    </row>
    <row r="32" spans="1:11" ht="31.5" x14ac:dyDescent="0.25">
      <c r="A32" s="153" t="s">
        <v>499</v>
      </c>
      <c r="B32" s="162" t="s">
        <v>498</v>
      </c>
      <c r="C32" s="165" t="s">
        <v>436</v>
      </c>
      <c r="D32" s="165" t="s">
        <v>436</v>
      </c>
      <c r="E32" s="165">
        <v>42597</v>
      </c>
      <c r="F32" s="165">
        <v>42597</v>
      </c>
      <c r="G32" s="165"/>
      <c r="H32" s="165"/>
      <c r="I32" s="166"/>
      <c r="J32" s="149"/>
      <c r="K32" s="150"/>
    </row>
    <row r="33" spans="1:11" ht="47.25" x14ac:dyDescent="0.25">
      <c r="A33" s="153" t="s">
        <v>501</v>
      </c>
      <c r="B33" s="162" t="s">
        <v>500</v>
      </c>
      <c r="C33" s="165" t="s">
        <v>436</v>
      </c>
      <c r="D33" s="165" t="s">
        <v>436</v>
      </c>
      <c r="E33" s="165">
        <v>42720</v>
      </c>
      <c r="F33" s="165">
        <v>42720</v>
      </c>
      <c r="G33" s="165"/>
      <c r="H33" s="165"/>
      <c r="I33" s="166"/>
      <c r="J33" s="149"/>
      <c r="K33" s="150"/>
    </row>
    <row r="34" spans="1:11" ht="63" x14ac:dyDescent="0.25">
      <c r="A34" s="153" t="s">
        <v>503</v>
      </c>
      <c r="B34" s="162" t="s">
        <v>502</v>
      </c>
      <c r="C34" s="165" t="s">
        <v>436</v>
      </c>
      <c r="D34" s="165" t="s">
        <v>436</v>
      </c>
      <c r="E34" s="165" t="s">
        <v>436</v>
      </c>
      <c r="F34" s="165" t="s">
        <v>436</v>
      </c>
      <c r="G34" s="165"/>
      <c r="H34" s="165"/>
      <c r="I34" s="166"/>
      <c r="J34" s="151"/>
      <c r="K34" s="151"/>
    </row>
    <row r="35" spans="1:11" ht="31.5" x14ac:dyDescent="0.25">
      <c r="A35" s="153" t="s">
        <v>504</v>
      </c>
      <c r="B35" s="162" t="s">
        <v>193</v>
      </c>
      <c r="C35" s="165" t="s">
        <v>436</v>
      </c>
      <c r="D35" s="165" t="s">
        <v>436</v>
      </c>
      <c r="E35" s="165">
        <v>42731</v>
      </c>
      <c r="F35" s="165">
        <v>42731</v>
      </c>
      <c r="G35" s="165"/>
      <c r="H35" s="165"/>
      <c r="I35" s="166"/>
      <c r="J35" s="151"/>
      <c r="K35" s="151"/>
    </row>
    <row r="36" spans="1:11" ht="31.5" x14ac:dyDescent="0.25">
      <c r="A36" s="153" t="s">
        <v>506</v>
      </c>
      <c r="B36" s="162" t="s">
        <v>505</v>
      </c>
      <c r="C36" s="165" t="s">
        <v>436</v>
      </c>
      <c r="D36" s="165" t="s">
        <v>436</v>
      </c>
      <c r="E36" s="165">
        <v>42993</v>
      </c>
      <c r="F36" s="165">
        <v>42993</v>
      </c>
      <c r="G36" s="165"/>
      <c r="H36" s="165"/>
      <c r="I36" s="166"/>
      <c r="J36" s="161"/>
      <c r="K36" s="150"/>
    </row>
    <row r="37" spans="1:11" x14ac:dyDescent="0.25">
      <c r="A37" s="153" t="s">
        <v>507</v>
      </c>
      <c r="B37" s="162" t="s">
        <v>192</v>
      </c>
      <c r="C37" s="165" t="s">
        <v>436</v>
      </c>
      <c r="D37" s="165" t="s">
        <v>436</v>
      </c>
      <c r="E37" s="165">
        <v>43054</v>
      </c>
      <c r="F37" s="165">
        <v>43305</v>
      </c>
      <c r="G37" s="165"/>
      <c r="H37" s="165"/>
      <c r="I37" s="166"/>
      <c r="J37" s="152"/>
      <c r="K37" s="150"/>
    </row>
    <row r="38" spans="1:11" x14ac:dyDescent="0.25">
      <c r="A38" s="160" t="s">
        <v>508</v>
      </c>
      <c r="B38" s="163" t="s">
        <v>191</v>
      </c>
      <c r="C38" s="165" t="s">
        <v>436</v>
      </c>
      <c r="D38" s="165" t="s">
        <v>436</v>
      </c>
      <c r="E38" s="165"/>
      <c r="F38" s="165"/>
      <c r="G38" s="165"/>
      <c r="H38" s="165"/>
      <c r="I38" s="166"/>
      <c r="J38" s="150"/>
      <c r="K38" s="150"/>
    </row>
    <row r="39" spans="1:11" ht="63" x14ac:dyDescent="0.25">
      <c r="A39" s="153" t="s">
        <v>510</v>
      </c>
      <c r="B39" s="162" t="s">
        <v>509</v>
      </c>
      <c r="C39" s="165" t="s">
        <v>436</v>
      </c>
      <c r="D39" s="165" t="s">
        <v>436</v>
      </c>
      <c r="E39" s="165">
        <v>42843</v>
      </c>
      <c r="F39" s="165">
        <v>42843</v>
      </c>
      <c r="G39" s="165"/>
      <c r="H39" s="165"/>
      <c r="I39" s="166"/>
      <c r="J39" s="150"/>
      <c r="K39" s="150"/>
    </row>
    <row r="40" spans="1:11" x14ac:dyDescent="0.25">
      <c r="A40" s="153" t="s">
        <v>512</v>
      </c>
      <c r="B40" s="162" t="s">
        <v>511</v>
      </c>
      <c r="C40" s="165" t="s">
        <v>436</v>
      </c>
      <c r="D40" s="165" t="s">
        <v>436</v>
      </c>
      <c r="E40" s="165">
        <v>43038</v>
      </c>
      <c r="F40" s="165">
        <v>43038</v>
      </c>
      <c r="G40" s="165"/>
      <c r="H40" s="165"/>
      <c r="I40" s="166"/>
      <c r="J40" s="150"/>
      <c r="K40" s="150"/>
    </row>
    <row r="41" spans="1:11" ht="47.25" x14ac:dyDescent="0.25">
      <c r="A41" s="153" t="s">
        <v>514</v>
      </c>
      <c r="B41" s="163" t="s">
        <v>513</v>
      </c>
      <c r="C41" s="165" t="s">
        <v>436</v>
      </c>
      <c r="D41" s="165" t="s">
        <v>436</v>
      </c>
      <c r="E41" s="165"/>
      <c r="F41" s="165"/>
      <c r="G41" s="165"/>
      <c r="H41" s="165"/>
      <c r="I41" s="166"/>
      <c r="J41" s="150"/>
      <c r="K41" s="150"/>
    </row>
    <row r="42" spans="1:11" ht="31.5" x14ac:dyDescent="0.25">
      <c r="A42" s="153" t="s">
        <v>516</v>
      </c>
      <c r="B42" s="162" t="s">
        <v>515</v>
      </c>
      <c r="C42" s="165" t="s">
        <v>436</v>
      </c>
      <c r="D42" s="165" t="s">
        <v>436</v>
      </c>
      <c r="E42" s="165">
        <v>43070</v>
      </c>
      <c r="F42" s="165">
        <v>43097</v>
      </c>
      <c r="G42" s="165"/>
      <c r="H42" s="165"/>
      <c r="I42" s="166"/>
      <c r="J42" s="150"/>
      <c r="K42" s="150"/>
    </row>
    <row r="43" spans="1:11" x14ac:dyDescent="0.25">
      <c r="A43" s="153" t="s">
        <v>517</v>
      </c>
      <c r="B43" s="162" t="s">
        <v>190</v>
      </c>
      <c r="C43" s="165" t="s">
        <v>436</v>
      </c>
      <c r="D43" s="165" t="s">
        <v>436</v>
      </c>
      <c r="E43" s="165">
        <v>43054</v>
      </c>
      <c r="F43" s="165">
        <v>43218</v>
      </c>
      <c r="G43" s="165"/>
      <c r="H43" s="165"/>
      <c r="I43" s="166"/>
      <c r="J43" s="150"/>
      <c r="K43" s="150"/>
    </row>
    <row r="44" spans="1:11" x14ac:dyDescent="0.25">
      <c r="A44" s="153" t="s">
        <v>518</v>
      </c>
      <c r="B44" s="162" t="s">
        <v>189</v>
      </c>
      <c r="C44" s="165" t="s">
        <v>436</v>
      </c>
      <c r="D44" s="165" t="s">
        <v>436</v>
      </c>
      <c r="E44" s="165">
        <v>43084</v>
      </c>
      <c r="F44" s="165">
        <v>43266</v>
      </c>
      <c r="G44" s="165"/>
      <c r="H44" s="165"/>
      <c r="I44" s="166"/>
      <c r="J44" s="150"/>
      <c r="K44" s="150"/>
    </row>
    <row r="45" spans="1:11" ht="78.75" x14ac:dyDescent="0.25">
      <c r="A45" s="153" t="s">
        <v>520</v>
      </c>
      <c r="B45" s="162" t="s">
        <v>519</v>
      </c>
      <c r="C45" s="165" t="s">
        <v>436</v>
      </c>
      <c r="D45" s="165" t="s">
        <v>436</v>
      </c>
      <c r="E45" s="165">
        <v>43343</v>
      </c>
      <c r="F45" s="165">
        <v>43343</v>
      </c>
      <c r="G45" s="165"/>
      <c r="H45" s="165"/>
      <c r="I45" s="166"/>
      <c r="J45" s="150"/>
      <c r="K45" s="150"/>
    </row>
    <row r="46" spans="1:11" ht="157.5" x14ac:dyDescent="0.25">
      <c r="A46" s="153" t="s">
        <v>522</v>
      </c>
      <c r="B46" s="162" t="s">
        <v>521</v>
      </c>
      <c r="C46" s="165" t="s">
        <v>436</v>
      </c>
      <c r="D46" s="165" t="s">
        <v>436</v>
      </c>
      <c r="E46" s="165">
        <v>43319</v>
      </c>
      <c r="F46" s="165">
        <v>43319</v>
      </c>
      <c r="G46" s="165"/>
      <c r="H46" s="165"/>
      <c r="I46" s="166"/>
      <c r="J46" s="150"/>
      <c r="K46" s="150"/>
    </row>
    <row r="47" spans="1:11" x14ac:dyDescent="0.25">
      <c r="A47" s="153" t="s">
        <v>532</v>
      </c>
      <c r="B47" s="162" t="s">
        <v>188</v>
      </c>
      <c r="C47" s="165" t="s">
        <v>436</v>
      </c>
      <c r="D47" s="165" t="s">
        <v>436</v>
      </c>
      <c r="E47" s="165">
        <v>43220</v>
      </c>
      <c r="F47" s="165">
        <v>43318</v>
      </c>
      <c r="G47" s="165"/>
      <c r="H47" s="165"/>
      <c r="I47" s="166"/>
      <c r="J47" s="150"/>
      <c r="K47" s="150"/>
    </row>
    <row r="48" spans="1:11" ht="31.5" x14ac:dyDescent="0.25">
      <c r="A48" s="153" t="s">
        <v>523</v>
      </c>
      <c r="B48" s="163" t="s">
        <v>187</v>
      </c>
      <c r="C48" s="165" t="s">
        <v>436</v>
      </c>
      <c r="D48" s="165" t="s">
        <v>436</v>
      </c>
      <c r="E48" s="165"/>
      <c r="F48" s="165"/>
      <c r="G48" s="165"/>
      <c r="H48" s="165"/>
      <c r="I48" s="166"/>
      <c r="J48" s="150"/>
      <c r="K48" s="150"/>
    </row>
    <row r="49" spans="1:11" ht="31.5" x14ac:dyDescent="0.25">
      <c r="A49" s="153" t="s">
        <v>533</v>
      </c>
      <c r="B49" s="162" t="s">
        <v>186</v>
      </c>
      <c r="C49" s="165" t="s">
        <v>436</v>
      </c>
      <c r="D49" s="165" t="s">
        <v>436</v>
      </c>
      <c r="E49" s="165">
        <v>43318</v>
      </c>
      <c r="F49" s="165">
        <v>43320</v>
      </c>
      <c r="G49" s="165"/>
      <c r="H49" s="165"/>
      <c r="I49" s="166"/>
      <c r="J49" s="150"/>
      <c r="K49" s="150"/>
    </row>
    <row r="50" spans="1:11" ht="78.75" x14ac:dyDescent="0.25">
      <c r="A50" s="160" t="s">
        <v>525</v>
      </c>
      <c r="B50" s="162" t="s">
        <v>524</v>
      </c>
      <c r="C50" s="165" t="s">
        <v>436</v>
      </c>
      <c r="D50" s="165" t="s">
        <v>436</v>
      </c>
      <c r="E50" s="165">
        <v>43343</v>
      </c>
      <c r="F50" s="165">
        <v>43343</v>
      </c>
      <c r="G50" s="165"/>
      <c r="H50" s="165"/>
      <c r="I50" s="166"/>
      <c r="J50" s="150"/>
      <c r="K50" s="150"/>
    </row>
    <row r="51" spans="1:11" ht="63" x14ac:dyDescent="0.25">
      <c r="A51" s="153" t="s">
        <v>527</v>
      </c>
      <c r="B51" s="162" t="s">
        <v>526</v>
      </c>
      <c r="C51" s="165" t="s">
        <v>436</v>
      </c>
      <c r="D51" s="165" t="s">
        <v>436</v>
      </c>
      <c r="E51" s="165">
        <v>43343</v>
      </c>
      <c r="F51" s="165">
        <v>43343</v>
      </c>
      <c r="G51" s="165"/>
      <c r="H51" s="165"/>
      <c r="I51" s="166"/>
      <c r="J51" s="150"/>
      <c r="K51" s="150"/>
    </row>
    <row r="52" spans="1:11" ht="63" x14ac:dyDescent="0.25">
      <c r="A52" s="153" t="s">
        <v>528</v>
      </c>
      <c r="B52" s="162" t="s">
        <v>185</v>
      </c>
      <c r="C52" s="165" t="s">
        <v>436</v>
      </c>
      <c r="D52" s="165" t="s">
        <v>436</v>
      </c>
      <c r="E52" s="165"/>
      <c r="F52" s="165"/>
      <c r="G52" s="165"/>
      <c r="H52" s="165"/>
      <c r="I52" s="166"/>
      <c r="J52" s="150"/>
      <c r="K52" s="150"/>
    </row>
    <row r="53" spans="1:11" ht="31.5" x14ac:dyDescent="0.25">
      <c r="A53" s="153" t="s">
        <v>530</v>
      </c>
      <c r="B53" s="162" t="s">
        <v>529</v>
      </c>
      <c r="C53" s="165">
        <v>45878</v>
      </c>
      <c r="D53" s="165">
        <v>47340</v>
      </c>
      <c r="E53" s="165">
        <v>43343</v>
      </c>
      <c r="F53" s="165">
        <v>43343</v>
      </c>
      <c r="G53" s="165"/>
      <c r="H53" s="165"/>
      <c r="I53" s="166"/>
      <c r="J53" s="150"/>
      <c r="K53" s="150"/>
    </row>
    <row r="54" spans="1:11" ht="31.5" x14ac:dyDescent="0.25">
      <c r="A54" s="153" t="s">
        <v>534</v>
      </c>
      <c r="B54" s="162" t="s">
        <v>184</v>
      </c>
      <c r="C54" s="165" t="s">
        <v>436</v>
      </c>
      <c r="D54" s="165" t="s">
        <v>436</v>
      </c>
      <c r="E54" s="165">
        <v>43353</v>
      </c>
      <c r="F54" s="165">
        <v>43353</v>
      </c>
      <c r="G54" s="165"/>
      <c r="H54" s="165"/>
      <c r="I54" s="166"/>
      <c r="J54" s="150"/>
      <c r="K54" s="150"/>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2024-10-16T20:10:13Z</dcterms:modified>
</cp:coreProperties>
</file>